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-2" sheetId="8" r:id="rId8"/>
    <sheet name="січень " sheetId="9" r:id="rId9"/>
  </sheets>
  <externalReferences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<sst xmlns="http://schemas.openxmlformats.org/spreadsheetml/2006/main" count="1356" uniqueCount="298">
  <si>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</si>
  <si>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</si>
  <si>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</si>
  <si>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</si>
  <si>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</si>
  <si>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</si>
  <si>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</si>
  <si>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</si>
  <si>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</si>
  <si>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</si>
  <si>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</si>
  <si>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</si>
  <si>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</si>
  <si>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</si>
  <si>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</si>
  <si>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</si>
  <si>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</si>
  <si>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</si>
  <si>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</si>
  <si>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</si>
  <si>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</si>
  <si>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</si>
  <si>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</si>
  <si>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</si>
  <si>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</si>
  <si>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</si>
  <si>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</si>
  <si>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</si>
  <si>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</si>
  <si>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</si>
  <si>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</si>
  <si>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</si>
  <si>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</si>
  <si>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</si>
  <si>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</si>
  <si>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</si>
  <si>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</si>
  <si>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</si>
  <si>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</si>
  <si>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</si>
  <si>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</si>
  <si>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</si>
  <si>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</si>
  <si>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</si>
  <si>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</si>
  <si>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</si>
  <si>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</si>
  <si>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</si>
  <si>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</si>
  <si>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</si>
  <si>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</si>
  <si>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</si>
  <si>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</si>
  <si>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</si>
  <si>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</si>
  <si>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</si>
  <si>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</si>
  <si>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</si>
  <si>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</si>
  <si>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</si>
  <si>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</si>
  <si>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</si>
  <si>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</si>
  <si>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</si>
  <si>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</si>
  <si>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</si>
  <si>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</si>
  <si>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</si>
  <si>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</si>
  <si>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</si>
  <si>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</si>
  <si>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</si>
  <si>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</si>
  <si>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</si>
  <si>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</si>
  <si>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</si>
  <si>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</si>
  <si>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</si>
  <si>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</si>
  <si>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</si>
  <si>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</si>
  <si>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</si>
  <si>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</si>
  <si>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</si>
  <si>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</si>
  <si>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</si>
  <si>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</si>
  <si>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</si>
  <si>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</si>
  <si>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</si>
  <si>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</si>
  <si>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</si>
  <si>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</si>
  <si>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</si>
  <si>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</si>
  <si>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</si>
  <si>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</si>
  <si>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</si>
  <si>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</si>
  <si>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</si>
  <si>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</si>
  <si>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</si>
  <si>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</si>
  <si>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</si>
  <si>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</si>
  <si>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</si>
  <si>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</si>
  <si>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</si>
  <si>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</si>
  <si>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</si>
  <si>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</si>
  <si>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</si>
  <si>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</si>
  <si>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</si>
  <si>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</si>
  <si>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</si>
  <si>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</si>
  <si>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</si>
  <si>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</si>
  <si>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</si>
  <si>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</si>
  <si>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</si>
  <si>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</si>
  <si>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</si>
  <si>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</si>
  <si>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</si>
  <si>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</si>
  <si>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</si>
  <si>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</si>
  <si>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</si>
  <si>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</si>
  <si>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</si>
  <si>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</si>
  <si>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</si>
  <si>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</si>
  <si>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</si>
  <si>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</si>
  <si>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</si>
  <si>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</si>
  <si>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</si>
  <si>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</si>
  <si>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</si>
  <si>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</si>
  <si>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</si>
  <si>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</si>
  <si>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</si>
  <si>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</si>
  <si>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</si>
  <si>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</si>
  <si>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</si>
  <si>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</si>
  <si>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</si>
  <si>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</si>
  <si>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</si>
  <si>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</si>
  <si>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</si>
  <si>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</si>
  <si>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</si>
  <si>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</si>
  <si>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</si>
  <si>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</si>
  <si>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</si>
  <si>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</si>
  <si>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</si>
  <si>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</si>
  <si>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</si>
  <si>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</si>
  <si>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</si>
  <si>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</si>
  <si>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</si>
  <si>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</si>
  <si>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</si>
  <si>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</si>
  <si>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</si>
  <si>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</si>
  <si>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</si>
  <si>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</si>
  <si>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</si>
  <si>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</si>
  <si>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</si>
  <si>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</si>
  <si>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</si>
  <si>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</si>
  <si>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</si>
  <si>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</si>
  <si>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</si>
  <si>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</si>
  <si>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</si>
  <si>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</si>
  <si>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</si>
  <si>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</si>
  <si>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</si>
  <si>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</si>
  <si>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</si>
  <si>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</si>
  <si>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</si>
  <si>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</si>
  <si>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</si>
  <si>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</si>
  <si>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</si>
  <si>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</si>
  <si>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</si>
  <si>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</si>
  <si>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</si>
  <si>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</si>
  <si>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</si>
  <si>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</si>
  <si>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</si>
  <si>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</si>
  <si>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</si>
  <si>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</si>
  <si>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</si>
  <si>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</si>
  <si>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</si>
  <si>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</si>
  <si>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</si>
  <si>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</si>
  <si>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</si>
  <si>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</si>
  <si>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</si>
  <si>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</si>
  <si>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</si>
  <si>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</si>
  <si>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</si>
  <si>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</si>
  <si>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</si>
  <si>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</si>
  <si>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</si>
  <si>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</si>
  <si>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</si>
  <si>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</si>
  <si>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</si>
  <si>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</si>
  <si>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</si>
  <si>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</si>
  <si>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</si>
  <si>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</si>
  <si>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</si>
  <si>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</si>
  <si>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</si>
  <si>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</si>
  <si>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</si>
  <si>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</si>
  <si>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</si>
  <si>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</si>
  <si>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</si>
  <si>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</si>
  <si>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</si>
  <si>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</si>
  <si>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</si>
  <si>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</si>
  <si>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</si>
  <si>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</si>
  <si>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</si>
  <si>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</si>
  <si>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</si>
  <si>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</si>
  <si>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</si>
  <si>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</si>
  <si>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</si>
  <si>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</si>
  <si>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</si>
  <si>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</si>
  <si>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</si>
  <si>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</si>
  <si>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</si>
  <si>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</si>
  <si>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</si>
  <si>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</si>
  <si>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</si>
  <si>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</si>
  <si>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</si>
  <si>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</si>
  <si>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</si>
  <si>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</si>
  <si>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</si>
  <si>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</si>
  <si>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</si>
  <si>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</si>
  <si>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</si>
  <si>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</si>
  <si>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</si>
  <si>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</si>
  <si>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</si>
  <si>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</si>
  <si>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</si>
  <si>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</si>
  <si>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</si>
  <si>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</si>
  <si>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</si>
  <si>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</si>
  <si>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</si>
  <si>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</si>
  <si>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</si>
  <si>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</si>
  <si>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</si>
  <si>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26.08.2015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</si>
  <si>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25.08.15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</si>
</sst>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Alignment="1" applyProtection="1">
      <alignment horizontal="center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Лист1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  <sheetName val="Фонтан Сіті"/>
    </sheetNames>
    <sheetDataSet>
      <sheetData sheetId="17">
        <row r="6">
          <cell r="G6">
            <v>3371127.79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A1">
      <pane xSplit="3" ySplit="8" topLeftCell="D7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N6" sqref="N6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0" t="s">
        <v>296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17"/>
      <c r="R1" s="118"/>
    </row>
    <row r="2" spans="2:18" s="1" customFormat="1" ht="15.75" customHeight="1">
      <c r="B2" s="251"/>
      <c r="C2" s="251"/>
      <c r="D2" s="251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2"/>
      <c r="B3" s="254"/>
      <c r="C3" s="255" t="s">
        <v>0</v>
      </c>
      <c r="D3" s="256" t="s">
        <v>261</v>
      </c>
      <c r="E3" s="40"/>
      <c r="F3" s="257" t="s">
        <v>107</v>
      </c>
      <c r="G3" s="258"/>
      <c r="H3" s="258"/>
      <c r="I3" s="258"/>
      <c r="J3" s="259"/>
      <c r="K3" s="114"/>
      <c r="L3" s="114"/>
      <c r="M3" s="260" t="s">
        <v>293</v>
      </c>
      <c r="N3" s="261" t="s">
        <v>294</v>
      </c>
      <c r="O3" s="261"/>
      <c r="P3" s="261"/>
      <c r="Q3" s="261"/>
      <c r="R3" s="261"/>
    </row>
    <row r="4" spans="1:18" ht="22.5" customHeight="1">
      <c r="A4" s="252"/>
      <c r="B4" s="254"/>
      <c r="C4" s="255"/>
      <c r="D4" s="256"/>
      <c r="E4" s="262" t="s">
        <v>291</v>
      </c>
      <c r="F4" s="244" t="s">
        <v>116</v>
      </c>
      <c r="G4" s="246" t="s">
        <v>292</v>
      </c>
      <c r="H4" s="248" t="s">
        <v>284</v>
      </c>
      <c r="I4" s="226" t="s">
        <v>217</v>
      </c>
      <c r="J4" s="240" t="s">
        <v>218</v>
      </c>
      <c r="K4" s="116" t="s">
        <v>172</v>
      </c>
      <c r="L4" s="121" t="s">
        <v>171</v>
      </c>
      <c r="M4" s="240"/>
      <c r="N4" s="242" t="s">
        <v>297</v>
      </c>
      <c r="O4" s="226" t="s">
        <v>136</v>
      </c>
      <c r="P4" s="243" t="s">
        <v>135</v>
      </c>
      <c r="Q4" s="122" t="s">
        <v>172</v>
      </c>
      <c r="R4" s="123" t="s">
        <v>171</v>
      </c>
    </row>
    <row r="5" spans="1:19" ht="92.25" customHeight="1">
      <c r="A5" s="253"/>
      <c r="B5" s="254"/>
      <c r="C5" s="255"/>
      <c r="D5" s="256"/>
      <c r="E5" s="263"/>
      <c r="F5" s="245"/>
      <c r="G5" s="247"/>
      <c r="H5" s="249"/>
      <c r="I5" s="224"/>
      <c r="J5" s="241"/>
      <c r="K5" s="237" t="s">
        <v>295</v>
      </c>
      <c r="L5" s="238"/>
      <c r="M5" s="241"/>
      <c r="N5" s="225"/>
      <c r="O5" s="224"/>
      <c r="P5" s="243"/>
      <c r="Q5" s="237" t="s">
        <v>176</v>
      </c>
      <c r="R5" s="23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410869.64</v>
      </c>
      <c r="G8" s="18">
        <f aca="true" t="shared" si="0" ref="G8:G54">F8-E8</f>
        <v>-2206.4599999999045</v>
      </c>
      <c r="H8" s="45">
        <f>F8/E8*100</f>
        <v>99.46584660792529</v>
      </c>
      <c r="I8" s="31">
        <f aca="true" t="shared" si="1" ref="I8:I54">F8-D8</f>
        <v>-161419.36</v>
      </c>
      <c r="J8" s="31">
        <f aca="true" t="shared" si="2" ref="J8:J14">F8/D8*100</f>
        <v>71.79408305943326</v>
      </c>
      <c r="K8" s="18">
        <f>K9+K15+K18+K19+K20+K32</f>
        <v>88225.31599999999</v>
      </c>
      <c r="L8" s="18"/>
      <c r="M8" s="18">
        <f>M9+M15+M18+M19+M20+M32+M17</f>
        <v>84902.7</v>
      </c>
      <c r="N8" s="18">
        <f>N9+N15+N18+N19+N20+N32+N17</f>
        <v>44097.40999999998</v>
      </c>
      <c r="O8" s="31">
        <f aca="true" t="shared" si="3" ref="O8:O54">N8-M8</f>
        <v>-40805.290000000015</v>
      </c>
      <c r="P8" s="31">
        <f>F8/M8*100</f>
        <v>483.9300045817153</v>
      </c>
      <c r="Q8" s="31">
        <f>N8-33748.16</f>
        <v>10349.249999999978</v>
      </c>
      <c r="R8" s="125">
        <f>N8/33748.16</f>
        <v>1.3066611631567462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227134.32</v>
      </c>
      <c r="G9" s="43">
        <f t="shared" si="0"/>
        <v>4609.670000000013</v>
      </c>
      <c r="H9" s="35">
        <f aca="true" t="shared" si="4" ref="H9:H32">F9/E9*100</f>
        <v>102.07153229990476</v>
      </c>
      <c r="I9" s="50">
        <f t="shared" si="1"/>
        <v>-85555.68</v>
      </c>
      <c r="J9" s="50">
        <f t="shared" si="2"/>
        <v>72.63881799865682</v>
      </c>
      <c r="K9" s="132">
        <f>F9-250278.43/75*60</f>
        <v>26911.576</v>
      </c>
      <c r="L9" s="132">
        <f>F9/(250278.43/75*60)*100</f>
        <v>113.440818691407</v>
      </c>
      <c r="M9" s="35">
        <f>E9-липень!E9</f>
        <v>34220</v>
      </c>
      <c r="N9" s="35">
        <f>F9-липень!F9</f>
        <v>23699.880000000005</v>
      </c>
      <c r="O9" s="47">
        <f t="shared" si="3"/>
        <v>-10520.119999999995</v>
      </c>
      <c r="P9" s="50">
        <f aca="true" t="shared" si="5" ref="P9:P32">N9/M9*100</f>
        <v>69.2573933372297</v>
      </c>
      <c r="Q9" s="132">
        <f>N9-26568.11</f>
        <v>-2868.229999999996</v>
      </c>
      <c r="R9" s="133">
        <f>N9/26568.11</f>
        <v>0.8920423771205406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189778.9</v>
      </c>
      <c r="G10" s="135">
        <f t="shared" si="0"/>
        <v>-6221.350000000006</v>
      </c>
      <c r="H10" s="137">
        <f t="shared" si="4"/>
        <v>96.82584588540065</v>
      </c>
      <c r="I10" s="136">
        <f t="shared" si="1"/>
        <v>-50631.100000000006</v>
      </c>
      <c r="J10" s="136">
        <f t="shared" si="2"/>
        <v>78.93968636911943</v>
      </c>
      <c r="K10" s="138">
        <f>F10-222647.03/75*60</f>
        <v>11661.276000000013</v>
      </c>
      <c r="L10" s="138">
        <f>F10/(222647.03/75*60)*100</f>
        <v>106.54695236671247</v>
      </c>
      <c r="M10" s="35">
        <f>E10-липень!E10</f>
        <v>30770</v>
      </c>
      <c r="N10" s="35">
        <f>F10-липень!F10</f>
        <v>9708.929999999993</v>
      </c>
      <c r="O10" s="138">
        <f t="shared" si="3"/>
        <v>-21061.070000000007</v>
      </c>
      <c r="P10" s="136">
        <f t="shared" si="5"/>
        <v>31.55323366915825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10793.45</v>
      </c>
      <c r="G11" s="135">
        <f t="shared" si="0"/>
        <v>-3894.5499999999993</v>
      </c>
      <c r="H11" s="137">
        <f t="shared" si="4"/>
        <v>73.48481753812636</v>
      </c>
      <c r="I11" s="136">
        <f t="shared" si="1"/>
        <v>-12906.55</v>
      </c>
      <c r="J11" s="136">
        <f t="shared" si="2"/>
        <v>45.54198312236287</v>
      </c>
      <c r="K11" s="138">
        <f>F11-15880.56/75*60</f>
        <v>-1910.9979999999996</v>
      </c>
      <c r="L11" s="138">
        <f>F11/(15880.56/75*60)*100</f>
        <v>84.95803989279975</v>
      </c>
      <c r="M11" s="35">
        <f>E11-липень!E11</f>
        <v>1980</v>
      </c>
      <c r="N11" s="35">
        <f>F11-липень!F11</f>
        <v>2.0600000000013097</v>
      </c>
      <c r="O11" s="138">
        <f t="shared" si="3"/>
        <v>-1977.9399999999987</v>
      </c>
      <c r="P11" s="136">
        <f t="shared" si="5"/>
        <v>0.10404040404047019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3137.31</v>
      </c>
      <c r="G12" s="135">
        <f t="shared" si="0"/>
        <v>-111.69000000000005</v>
      </c>
      <c r="H12" s="137">
        <f t="shared" si="4"/>
        <v>96.56232686980609</v>
      </c>
      <c r="I12" s="136">
        <f t="shared" si="1"/>
        <v>-2662.69</v>
      </c>
      <c r="J12" s="136">
        <f t="shared" si="2"/>
        <v>54.09155172413793</v>
      </c>
      <c r="K12" s="138">
        <f>F12-4856.12/75*60</f>
        <v>-747.5859999999998</v>
      </c>
      <c r="L12" s="138">
        <f>F12/(4856.12*60)*100</f>
        <v>1.076754693047124</v>
      </c>
      <c r="M12" s="35">
        <f>E12-липень!E12</f>
        <v>420</v>
      </c>
      <c r="N12" s="35">
        <f>F12-липень!F12</f>
        <v>84.38999999999987</v>
      </c>
      <c r="O12" s="138">
        <f t="shared" si="3"/>
        <v>-335.6100000000001</v>
      </c>
      <c r="P12" s="136">
        <f t="shared" si="5"/>
        <v>20.092857142857113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4275.84</v>
      </c>
      <c r="G13" s="135">
        <f t="shared" si="0"/>
        <v>-1497.5599999999995</v>
      </c>
      <c r="H13" s="137">
        <f t="shared" si="4"/>
        <v>74.06103855613677</v>
      </c>
      <c r="I13" s="136">
        <f t="shared" si="1"/>
        <v>-4124.16</v>
      </c>
      <c r="J13" s="136">
        <f t="shared" si="2"/>
        <v>50.90285714285715</v>
      </c>
      <c r="K13" s="138">
        <f>F13-6838.4/75*60</f>
        <v>-1194.8799999999992</v>
      </c>
      <c r="L13" s="138">
        <f>F13/(6838.4/75*60)*100</f>
        <v>78.15863359850258</v>
      </c>
      <c r="M13" s="35">
        <f>E13-липень!E13</f>
        <v>660</v>
      </c>
      <c r="N13" s="35">
        <f>F13-липень!F13</f>
        <v>215.82000000000016</v>
      </c>
      <c r="O13" s="138">
        <f t="shared" si="3"/>
        <v>-444.17999999999984</v>
      </c>
      <c r="P13" s="136">
        <f t="shared" si="5"/>
        <v>32.700000000000024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6104.59</v>
      </c>
      <c r="G14" s="135">
        <f t="shared" si="0"/>
        <v>3290.59</v>
      </c>
      <c r="H14" s="137">
        <f t="shared" si="4"/>
        <v>216.9363894811656</v>
      </c>
      <c r="I14" s="136">
        <f t="shared" si="1"/>
        <v>1724.5900000000001</v>
      </c>
      <c r="J14" s="136">
        <f t="shared" si="2"/>
        <v>139.37420091324202</v>
      </c>
      <c r="K14" s="138">
        <f>F14-56.31/75*60</f>
        <v>6059.542</v>
      </c>
      <c r="L14" s="138">
        <f>F14/(56.31/75*60)*100</f>
        <v>13551.300834665248</v>
      </c>
      <c r="M14" s="35">
        <f>E14-липень!E14</f>
        <v>390</v>
      </c>
      <c r="N14" s="35">
        <f>F14-липень!F14</f>
        <v>644.4700000000003</v>
      </c>
      <c r="O14" s="138">
        <f t="shared" si="3"/>
        <v>254.47000000000025</v>
      </c>
      <c r="P14" s="136">
        <f t="shared" si="5"/>
        <v>165.248717948718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38083.64</v>
      </c>
      <c r="G19" s="43">
        <f t="shared" si="0"/>
        <v>-5839.110000000001</v>
      </c>
      <c r="H19" s="35">
        <f t="shared" si="4"/>
        <v>86.70595534204939</v>
      </c>
      <c r="I19" s="50">
        <f t="shared" si="1"/>
        <v>-24126.36</v>
      </c>
      <c r="J19" s="178">
        <f>F19/D19*100</f>
        <v>61.217874939720296</v>
      </c>
      <c r="K19" s="179">
        <f>F19-0</f>
        <v>38083.64</v>
      </c>
      <c r="L19" s="180"/>
      <c r="M19" s="35">
        <f>E19-липень!E19</f>
        <v>17700</v>
      </c>
      <c r="N19" s="35">
        <f>F19-липень!F19</f>
        <v>959.0299999999988</v>
      </c>
      <c r="O19" s="47">
        <f t="shared" si="3"/>
        <v>-16740.97</v>
      </c>
      <c r="P19" s="50">
        <f t="shared" si="5"/>
        <v>5.418248587570615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140796.41999999998</v>
      </c>
      <c r="G20" s="43">
        <f t="shared" si="0"/>
        <v>104.11999999999534</v>
      </c>
      <c r="H20" s="35">
        <f t="shared" si="4"/>
        <v>100.0740054715148</v>
      </c>
      <c r="I20" s="50">
        <f t="shared" si="1"/>
        <v>-49073.580000000016</v>
      </c>
      <c r="J20" s="178">
        <f aca="true" t="shared" si="6" ref="J20:J46">F20/D20*100</f>
        <v>74.15411597408752</v>
      </c>
      <c r="K20" s="178">
        <f>K21+K25+K26+K27</f>
        <v>25814.47000000001</v>
      </c>
      <c r="L20" s="136"/>
      <c r="M20" s="35">
        <f>E20-липень!E20</f>
        <v>31232.59999999999</v>
      </c>
      <c r="N20" s="35">
        <f>F20-липень!F20</f>
        <v>17839.42999999998</v>
      </c>
      <c r="O20" s="47">
        <f t="shared" si="3"/>
        <v>-13393.170000000013</v>
      </c>
      <c r="P20" s="50">
        <f t="shared" si="5"/>
        <v>57.1179792908691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73934.73999999999</v>
      </c>
      <c r="G21" s="43">
        <f t="shared" si="0"/>
        <v>-3245.560000000012</v>
      </c>
      <c r="H21" s="35">
        <f t="shared" si="4"/>
        <v>95.79483365573857</v>
      </c>
      <c r="I21" s="50">
        <f t="shared" si="1"/>
        <v>-36365.26000000001</v>
      </c>
      <c r="J21" s="178">
        <f t="shared" si="6"/>
        <v>67.03058930190389</v>
      </c>
      <c r="K21" s="178">
        <f>K22+K23+K24</f>
        <v>19353.2</v>
      </c>
      <c r="L21" s="136"/>
      <c r="M21" s="35">
        <f>E21-липень!E21</f>
        <v>19677.100000000006</v>
      </c>
      <c r="N21" s="35">
        <f>F21-липень!F21</f>
        <v>6067.559999999998</v>
      </c>
      <c r="O21" s="47">
        <f t="shared" si="3"/>
        <v>-13609.540000000008</v>
      </c>
      <c r="P21" s="50">
        <f t="shared" si="5"/>
        <v>30.835641430901887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8606.09</v>
      </c>
      <c r="G22" s="135">
        <f t="shared" si="0"/>
        <v>-17.209999999999127</v>
      </c>
      <c r="H22" s="137">
        <f t="shared" si="4"/>
        <v>99.80042443148216</v>
      </c>
      <c r="I22" s="136">
        <f t="shared" si="1"/>
        <v>-2093.91</v>
      </c>
      <c r="J22" s="136">
        <f t="shared" si="6"/>
        <v>80.4307476635514</v>
      </c>
      <c r="K22" s="136">
        <f>F22-288.8</f>
        <v>8317.29</v>
      </c>
      <c r="L22" s="136">
        <f>F22/288.8*100</f>
        <v>2979.9480609418283</v>
      </c>
      <c r="M22" s="137">
        <f>E22-липень!E22</f>
        <v>8044.099999999999</v>
      </c>
      <c r="N22" s="137">
        <f>F22-липень!F22</f>
        <v>150.10000000000036</v>
      </c>
      <c r="O22" s="138">
        <f t="shared" si="3"/>
        <v>-7893.999999999999</v>
      </c>
      <c r="P22" s="136">
        <f t="shared" si="5"/>
        <v>1.8659638741437872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2534.12</v>
      </c>
      <c r="G23" s="135">
        <f t="shared" si="0"/>
        <v>1056.12</v>
      </c>
      <c r="H23" s="137"/>
      <c r="I23" s="136">
        <f t="shared" si="1"/>
        <v>434.1199999999999</v>
      </c>
      <c r="J23" s="136">
        <f t="shared" si="6"/>
        <v>120.67238095238095</v>
      </c>
      <c r="K23" s="136">
        <f>F23-0</f>
        <v>2534.12</v>
      </c>
      <c r="L23" s="136"/>
      <c r="M23" s="137">
        <f>E23-липень!E23</f>
        <v>1103</v>
      </c>
      <c r="N23" s="137">
        <f>F23-липень!F23</f>
        <v>1760.9199999999998</v>
      </c>
      <c r="O23" s="138">
        <f t="shared" si="3"/>
        <v>657.9199999999998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62794.53</v>
      </c>
      <c r="G24" s="135">
        <f t="shared" si="0"/>
        <v>-4284.470000000001</v>
      </c>
      <c r="H24" s="137">
        <f t="shared" si="4"/>
        <v>93.6127998330327</v>
      </c>
      <c r="I24" s="136">
        <f t="shared" si="1"/>
        <v>-34705.47</v>
      </c>
      <c r="J24" s="136">
        <f t="shared" si="6"/>
        <v>64.40464615384616</v>
      </c>
      <c r="K24" s="139">
        <f>F24-54292.74</f>
        <v>8501.79</v>
      </c>
      <c r="L24" s="139">
        <f>F24/54292.74*100</f>
        <v>115.65916547958346</v>
      </c>
      <c r="M24" s="137">
        <f>E24-липень!E24</f>
        <v>10530</v>
      </c>
      <c r="N24" s="137">
        <f>F24-липень!F24</f>
        <v>4156.540000000001</v>
      </c>
      <c r="O24" s="138">
        <f t="shared" si="3"/>
        <v>-6373.459999999999</v>
      </c>
      <c r="P24" s="136">
        <f t="shared" si="5"/>
        <v>39.473314339981016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49.25</v>
      </c>
      <c r="G25" s="43">
        <f t="shared" si="0"/>
        <v>13.75</v>
      </c>
      <c r="H25" s="35">
        <f t="shared" si="4"/>
        <v>138.73239436619718</v>
      </c>
      <c r="I25" s="50">
        <f t="shared" si="1"/>
        <v>-20.75</v>
      </c>
      <c r="J25" s="178">
        <f t="shared" si="6"/>
        <v>70.35714285714286</v>
      </c>
      <c r="K25" s="178">
        <f>F25-41.08</f>
        <v>8.170000000000002</v>
      </c>
      <c r="L25" s="178">
        <f>F25/41.08*100</f>
        <v>119.88802336903603</v>
      </c>
      <c r="M25" s="35">
        <f>E25-липень!E25</f>
        <v>5.5</v>
      </c>
      <c r="N25" s="35">
        <f>F25-липень!F25</f>
        <v>7.590000000000003</v>
      </c>
      <c r="O25" s="47">
        <f t="shared" si="3"/>
        <v>2.0900000000000034</v>
      </c>
      <c r="P25" s="50">
        <f t="shared" si="5"/>
        <v>138.00000000000006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-595.42</v>
      </c>
      <c r="G26" s="43">
        <f t="shared" si="0"/>
        <v>-595.42</v>
      </c>
      <c r="H26" s="35"/>
      <c r="I26" s="50">
        <f t="shared" si="1"/>
        <v>-595.42</v>
      </c>
      <c r="J26" s="136"/>
      <c r="K26" s="178">
        <f>F26-4244.7</f>
        <v>-4840.12</v>
      </c>
      <c r="L26" s="178">
        <f>F26/4244.7*100</f>
        <v>-14.027375315098828</v>
      </c>
      <c r="M26" s="35">
        <f>E26-липень!E26</f>
        <v>0</v>
      </c>
      <c r="N26" s="35">
        <f>F26-липень!F26</f>
        <v>-65.05999999999995</v>
      </c>
      <c r="O26" s="47">
        <f t="shared" si="3"/>
        <v>-65.05999999999995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67407.85</v>
      </c>
      <c r="G27" s="43">
        <f t="shared" si="0"/>
        <v>3931.350000000006</v>
      </c>
      <c r="H27" s="35">
        <f t="shared" si="4"/>
        <v>106.19339440580373</v>
      </c>
      <c r="I27" s="50">
        <f t="shared" si="1"/>
        <v>-12092.149999999994</v>
      </c>
      <c r="J27" s="178">
        <f t="shared" si="6"/>
        <v>84.78974842767296</v>
      </c>
      <c r="K27" s="132">
        <f>F27-56114.63</f>
        <v>11293.220000000008</v>
      </c>
      <c r="L27" s="132">
        <f>F27/56114.63*100</f>
        <v>120.12526857969125</v>
      </c>
      <c r="M27" s="35">
        <f>E27-липень!E27</f>
        <v>11550</v>
      </c>
      <c r="N27" s="35">
        <f>F27-липень!F27</f>
        <v>11829.340000000004</v>
      </c>
      <c r="O27" s="47">
        <f t="shared" si="3"/>
        <v>279.3400000000038</v>
      </c>
      <c r="P27" s="50">
        <f t="shared" si="5"/>
        <v>102.41852813852816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35">
        <f>E28-липень!E28</f>
        <v>0</v>
      </c>
      <c r="N28" s="35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14534.59</v>
      </c>
      <c r="G29" s="135">
        <f t="shared" si="0"/>
        <v>-1045.4099999999999</v>
      </c>
      <c r="H29" s="137">
        <f t="shared" si="4"/>
        <v>93.2900513478819</v>
      </c>
      <c r="I29" s="136">
        <f t="shared" si="1"/>
        <v>-4665.41</v>
      </c>
      <c r="J29" s="136">
        <f t="shared" si="6"/>
        <v>75.70098958333334</v>
      </c>
      <c r="K29" s="139">
        <f>F29-15615.32</f>
        <v>-1080.7299999999996</v>
      </c>
      <c r="L29" s="139">
        <f>F29/15615.32*100</f>
        <v>93.07904032706342</v>
      </c>
      <c r="M29" s="35">
        <f>E29-липень!E29</f>
        <v>3340</v>
      </c>
      <c r="N29" s="35">
        <f>F29-липень!F29</f>
        <v>1455.7299999999996</v>
      </c>
      <c r="O29" s="138">
        <f t="shared" si="3"/>
        <v>-1884.2700000000004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45261.44</v>
      </c>
      <c r="G30" s="135">
        <f t="shared" si="0"/>
        <v>-2635.0599999999977</v>
      </c>
      <c r="H30" s="137">
        <f t="shared" si="4"/>
        <v>94.4984289039909</v>
      </c>
      <c r="I30" s="136">
        <f t="shared" si="1"/>
        <v>-15038.559999999998</v>
      </c>
      <c r="J30" s="136">
        <f t="shared" si="6"/>
        <v>75.0604311774461</v>
      </c>
      <c r="K30" s="139">
        <f>F30-40498.93</f>
        <v>4762.510000000002</v>
      </c>
      <c r="L30" s="139">
        <f>F30/40498.93*100</f>
        <v>111.75959463620397</v>
      </c>
      <c r="M30" s="35">
        <f>E30-липень!E30</f>
        <v>8210</v>
      </c>
      <c r="N30" s="35">
        <f>F30-липень!F30</f>
        <v>2770.4000000000015</v>
      </c>
      <c r="O30" s="138">
        <f t="shared" si="3"/>
        <v>-5439.5999999999985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E31-липень!E31</f>
        <v>0</v>
      </c>
      <c r="N31" s="35">
        <f>F31-липень!F31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5573.95</v>
      </c>
      <c r="G32" s="43">
        <f t="shared" si="0"/>
        <v>-178.15000000000055</v>
      </c>
      <c r="H32" s="35">
        <f t="shared" si="4"/>
        <v>96.90287025608038</v>
      </c>
      <c r="I32" s="50">
        <f t="shared" si="1"/>
        <v>-1926.0500000000002</v>
      </c>
      <c r="J32" s="178">
        <f t="shared" si="6"/>
        <v>74.31933333333333</v>
      </c>
      <c r="K32" s="178">
        <f>F32-7363.52</f>
        <v>-1789.5700000000006</v>
      </c>
      <c r="L32" s="178">
        <f>F32/5308.17*100</f>
        <v>105.00699864548422</v>
      </c>
      <c r="M32" s="35">
        <f>E32-липень!E32</f>
        <v>1750.1000000000004</v>
      </c>
      <c r="N32" s="35">
        <f>F32-липень!F32</f>
        <v>1544.8899999999999</v>
      </c>
      <c r="O32" s="47">
        <f t="shared" si="3"/>
        <v>-205.2100000000005</v>
      </c>
      <c r="P32" s="50">
        <f t="shared" si="5"/>
        <v>88.27438432089593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21254.65</v>
      </c>
      <c r="G33" s="44">
        <f t="shared" si="0"/>
        <v>1164.4500000000007</v>
      </c>
      <c r="H33" s="45">
        <f>F33/E33*100</f>
        <v>105.79610954594779</v>
      </c>
      <c r="I33" s="31">
        <f t="shared" si="1"/>
        <v>-7452.449999999997</v>
      </c>
      <c r="J33" s="31">
        <f t="shared" si="6"/>
        <v>74.03969749643818</v>
      </c>
      <c r="K33" s="18">
        <f>K34+K35+K36+K37+K38+K41+K42+K47+K48+K52+K40</f>
        <v>12646.16</v>
      </c>
      <c r="L33" s="18"/>
      <c r="M33" s="18">
        <f>M34+M35+M36+M37+M38+M41+M42+M47+M48+M52+M40+M39</f>
        <v>12920.2</v>
      </c>
      <c r="N33" s="18">
        <f>N34+N35+N36+N37+N38+N41+N42+N47+N48+N52+N40+N39</f>
        <v>2429.42</v>
      </c>
      <c r="O33" s="49">
        <f t="shared" si="3"/>
        <v>-10490.78</v>
      </c>
      <c r="P33" s="31">
        <f>N33/M33*100</f>
        <v>18.803269299236852</v>
      </c>
      <c r="Q33" s="31">
        <f>N33-1017.63</f>
        <v>1411.79</v>
      </c>
      <c r="R33" s="127">
        <f>N33/1017.63</f>
        <v>2.3873313483289604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289.76</v>
      </c>
      <c r="G36" s="43">
        <f t="shared" si="0"/>
        <v>49.75999999999999</v>
      </c>
      <c r="H36" s="35"/>
      <c r="I36" s="50">
        <f t="shared" si="1"/>
        <v>49.75999999999999</v>
      </c>
      <c r="J36" s="50"/>
      <c r="K36" s="50">
        <f>F36-255.77</f>
        <v>33.98999999999998</v>
      </c>
      <c r="L36" s="50">
        <f>F36/255.77*100</f>
        <v>113.28928334050123</v>
      </c>
      <c r="M36" s="35">
        <f>E36-липень!E36</f>
        <v>240</v>
      </c>
      <c r="N36" s="35">
        <f>F36-липень!F36</f>
        <v>43.26999999999998</v>
      </c>
      <c r="O36" s="47">
        <f t="shared" si="3"/>
        <v>-196.73000000000002</v>
      </c>
      <c r="P36" s="50"/>
      <c r="Q36" s="50">
        <f>N36-4.23</f>
        <v>39.03999999999998</v>
      </c>
      <c r="R36" s="126">
        <f>N36/4.23</f>
        <v>10.229314420803778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99.35</v>
      </c>
      <c r="G38" s="43">
        <f t="shared" si="0"/>
        <v>9.349999999999994</v>
      </c>
      <c r="H38" s="35">
        <f>F38/E38*100</f>
        <v>110.38888888888889</v>
      </c>
      <c r="I38" s="50">
        <f t="shared" si="1"/>
        <v>-40.650000000000006</v>
      </c>
      <c r="J38" s="50">
        <f t="shared" si="6"/>
        <v>70.96428571428571</v>
      </c>
      <c r="K38" s="50">
        <f>F38-82.36</f>
        <v>16.989999999999995</v>
      </c>
      <c r="L38" s="50">
        <f>F38/82.36*100</f>
        <v>120.62894609033509</v>
      </c>
      <c r="M38" s="35">
        <f>E38-липень!E38</f>
        <v>10</v>
      </c>
      <c r="N38" s="35">
        <f>F38-липень!F38</f>
        <v>9.11</v>
      </c>
      <c r="O38" s="47">
        <f t="shared" si="3"/>
        <v>-0.8900000000000006</v>
      </c>
      <c r="P38" s="50">
        <f>N38/M38*100</f>
        <v>91.1</v>
      </c>
      <c r="Q38" s="50">
        <f>N38-9.02</f>
        <v>0.08999999999999986</v>
      </c>
      <c r="R38" s="126">
        <f>N38/9.02</f>
        <v>1.0099778270509978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6598.04</v>
      </c>
      <c r="G40" s="43"/>
      <c r="H40" s="35"/>
      <c r="I40" s="50">
        <f t="shared" si="1"/>
        <v>-2401.96</v>
      </c>
      <c r="J40" s="50"/>
      <c r="K40" s="50">
        <f>F40-0</f>
        <v>6598.04</v>
      </c>
      <c r="L40" s="50"/>
      <c r="M40" s="35">
        <f>E40-липень!E40</f>
        <v>6937</v>
      </c>
      <c r="N40" s="35">
        <f>F40-липень!F40</f>
        <v>660.3800000000001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5115.79</v>
      </c>
      <c r="G42" s="43">
        <f t="shared" si="0"/>
        <v>-78.90999999999985</v>
      </c>
      <c r="H42" s="35">
        <f>F42/E42*100</f>
        <v>98.48095173927273</v>
      </c>
      <c r="I42" s="50">
        <f t="shared" si="1"/>
        <v>-1984.21</v>
      </c>
      <c r="J42" s="50">
        <f t="shared" si="6"/>
        <v>72.05338028169014</v>
      </c>
      <c r="K42" s="50">
        <f>F42-685.66</f>
        <v>4430.13</v>
      </c>
      <c r="L42" s="50">
        <f>F42/685.66*100</f>
        <v>746.1117755155617</v>
      </c>
      <c r="M42" s="35">
        <f>E42-липень!E42</f>
        <v>4632.7</v>
      </c>
      <c r="N42" s="35">
        <f>F42-липень!F42</f>
        <v>423.6099999999997</v>
      </c>
      <c r="O42" s="47">
        <f t="shared" si="3"/>
        <v>-4209.09</v>
      </c>
      <c r="P42" s="50">
        <f>N42/M42*100</f>
        <v>9.143911757722272</v>
      </c>
      <c r="Q42" s="50">
        <f>N42-79.51</f>
        <v>344.0999999999997</v>
      </c>
      <c r="R42" s="126">
        <f>N42/79.51</f>
        <v>5.3277575147780105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696.67</v>
      </c>
      <c r="G43" s="135">
        <f t="shared" si="0"/>
        <v>-63.33000000000004</v>
      </c>
      <c r="H43" s="137">
        <f>F43/E43*100</f>
        <v>91.6671052631579</v>
      </c>
      <c r="I43" s="136">
        <f t="shared" si="1"/>
        <v>-403.33000000000004</v>
      </c>
      <c r="J43" s="136">
        <f t="shared" si="6"/>
        <v>63.33363636363636</v>
      </c>
      <c r="K43" s="136">
        <f>F43-605.31</f>
        <v>91.36000000000001</v>
      </c>
      <c r="L43" s="136">
        <f>F43/605.31*100</f>
        <v>115.09309279542714</v>
      </c>
      <c r="M43" s="35">
        <f>E43-липень!E43</f>
        <v>270</v>
      </c>
      <c r="N43" s="35">
        <f>F43-липень!F43</f>
        <v>23.089999999999918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45.43</v>
      </c>
      <c r="G44" s="135">
        <f t="shared" si="0"/>
        <v>-4.57</v>
      </c>
      <c r="H44" s="137"/>
      <c r="I44" s="136">
        <f t="shared" si="1"/>
        <v>-34.57</v>
      </c>
      <c r="J44" s="136"/>
      <c r="K44" s="136">
        <f>F44-0</f>
        <v>45.43</v>
      </c>
      <c r="L44" s="136"/>
      <c r="M44" s="35">
        <f>E44-липень!E44</f>
        <v>50</v>
      </c>
      <c r="N44" s="35">
        <f>F44-липень!F44</f>
        <v>0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4120.88</v>
      </c>
      <c r="G46" s="135">
        <f t="shared" si="0"/>
        <v>-263.1199999999999</v>
      </c>
      <c r="H46" s="137">
        <f>F46/E46*100</f>
        <v>93.99817518248176</v>
      </c>
      <c r="I46" s="136">
        <f t="shared" si="1"/>
        <v>-1797.12</v>
      </c>
      <c r="J46" s="136">
        <f t="shared" si="6"/>
        <v>69.63298411625549</v>
      </c>
      <c r="K46" s="136">
        <f>F46-80.35</f>
        <v>4040.53</v>
      </c>
      <c r="L46" s="136">
        <f>F46/80.35*100</f>
        <v>5128.662103298071</v>
      </c>
      <c r="M46" s="35">
        <f>E46-липень!E46</f>
        <v>4312</v>
      </c>
      <c r="N46" s="35">
        <f>F46-липень!F46</f>
        <v>172.1500000000001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3141.75</v>
      </c>
      <c r="G48" s="43">
        <f t="shared" si="0"/>
        <v>441.75</v>
      </c>
      <c r="H48" s="35">
        <f>F48/E48*100</f>
        <v>116.36111111111111</v>
      </c>
      <c r="I48" s="50">
        <f t="shared" si="1"/>
        <v>-1058.25</v>
      </c>
      <c r="J48" s="50">
        <f>F48/D48*100</f>
        <v>74.80357142857143</v>
      </c>
      <c r="K48" s="50">
        <f>F48-2702.66</f>
        <v>439.09000000000015</v>
      </c>
      <c r="L48" s="50">
        <f>F48/2702.66*100</f>
        <v>116.2465866960698</v>
      </c>
      <c r="M48" s="35">
        <f>E48-липень!E48</f>
        <v>350</v>
      </c>
      <c r="N48" s="35">
        <f>F48-липень!F48</f>
        <v>529.8299999999999</v>
      </c>
      <c r="O48" s="47">
        <f t="shared" si="3"/>
        <v>179.82999999999993</v>
      </c>
      <c r="P48" s="50">
        <f aca="true" t="shared" si="7" ref="P48:P53">N48/M48*100</f>
        <v>151.38</v>
      </c>
      <c r="Q48" s="50">
        <f>N48-277.38</f>
        <v>252.44999999999993</v>
      </c>
      <c r="R48" s="126">
        <f>N48/277.38</f>
        <v>1.9101232965606747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857.7</v>
      </c>
      <c r="G51" s="135">
        <f t="shared" si="0"/>
        <v>857.7</v>
      </c>
      <c r="H51" s="137"/>
      <c r="I51" s="136">
        <f t="shared" si="1"/>
        <v>857.7</v>
      </c>
      <c r="J51" s="136"/>
      <c r="K51" s="219">
        <f>F51-635.8</f>
        <v>221.9000000000001</v>
      </c>
      <c r="L51" s="219">
        <f>F51/635.8*100</f>
        <v>134.9009122365524</v>
      </c>
      <c r="M51" s="137">
        <f>E51-липень!E51</f>
        <v>0</v>
      </c>
      <c r="N51" s="137">
        <f>F51-липень!F51</f>
        <v>174.5</v>
      </c>
      <c r="O51" s="138">
        <f t="shared" si="3"/>
        <v>174.5</v>
      </c>
      <c r="P51" s="136"/>
      <c r="Q51" s="50">
        <f>N51-64.93</f>
        <v>109.57</v>
      </c>
      <c r="R51" s="126">
        <f>N51/64.93</f>
        <v>2.6875096257508084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432139.02</v>
      </c>
      <c r="G55" s="44">
        <f>F55-E55</f>
        <v>-1044.4799999999232</v>
      </c>
      <c r="H55" s="45">
        <f>F55/E55*100</f>
        <v>99.75888278293151</v>
      </c>
      <c r="I55" s="31">
        <f>F55-D55</f>
        <v>-168883.57999999996</v>
      </c>
      <c r="J55" s="31">
        <f>F55/D55*100</f>
        <v>71.9006273640958</v>
      </c>
      <c r="K55" s="31">
        <f>K8+K33+K53+K54</f>
        <v>100868.606</v>
      </c>
      <c r="L55" s="31">
        <f>F55/(F55-K55)*100</f>
        <v>130.44902343739037</v>
      </c>
      <c r="M55" s="18">
        <f>M8+M33+M53+M54</f>
        <v>97825.09999999999</v>
      </c>
      <c r="N55" s="18">
        <f>N8+N33+N53+N54</f>
        <v>46527.03999999998</v>
      </c>
      <c r="O55" s="49">
        <f>N55-M55</f>
        <v>-51298.06000000001</v>
      </c>
      <c r="P55" s="31">
        <f>N55/M55*100</f>
        <v>47.56145406444766</v>
      </c>
      <c r="Q55" s="31">
        <f>N55-34768</f>
        <v>11759.039999999979</v>
      </c>
      <c r="R55" s="171">
        <f>N55/34768</f>
        <v>1.3382144500690283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592.98</v>
      </c>
      <c r="G64" s="43">
        <f t="shared" si="8"/>
        <v>-407.02</v>
      </c>
      <c r="H64" s="35"/>
      <c r="I64" s="53">
        <f t="shared" si="9"/>
        <v>-1907.02</v>
      </c>
      <c r="J64" s="53">
        <f t="shared" si="11"/>
        <v>23.7192</v>
      </c>
      <c r="K64" s="53">
        <f>F64-1754.68</f>
        <v>-1161.7</v>
      </c>
      <c r="L64" s="53">
        <f>F64/1754.68*100</f>
        <v>33.79419609273486</v>
      </c>
      <c r="M64" s="35">
        <f>E64-липень!E64</f>
        <v>600</v>
      </c>
      <c r="N64" s="35">
        <f>F64-липень!F64</f>
        <v>0</v>
      </c>
      <c r="O64" s="47">
        <f t="shared" si="10"/>
        <v>-600</v>
      </c>
      <c r="P64" s="53"/>
      <c r="Q64" s="53">
        <f>N64-0.04</f>
        <v>-0.04</v>
      </c>
      <c r="R64" s="129">
        <f>N64/0.04</f>
        <v>0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3742.8</v>
      </c>
      <c r="G65" s="43">
        <f t="shared" si="8"/>
        <v>-990.6399999999994</v>
      </c>
      <c r="H65" s="35">
        <f>F65/E65*100</f>
        <v>79.07145754461872</v>
      </c>
      <c r="I65" s="53">
        <f t="shared" si="9"/>
        <v>-7833.2</v>
      </c>
      <c r="J65" s="53">
        <f t="shared" si="11"/>
        <v>32.33241188666206</v>
      </c>
      <c r="K65" s="53">
        <f>F65-2291.79</f>
        <v>1451.0100000000002</v>
      </c>
      <c r="L65" s="53">
        <f>F65/2291.79*100</f>
        <v>163.31339258832617</v>
      </c>
      <c r="M65" s="35">
        <f>E65-липень!E65</f>
        <v>1020.6799999999994</v>
      </c>
      <c r="N65" s="35">
        <f>F65-липень!F65</f>
        <v>163.05000000000018</v>
      </c>
      <c r="O65" s="47">
        <f t="shared" si="10"/>
        <v>-857.6299999999992</v>
      </c>
      <c r="P65" s="53">
        <f>N65/M65*100</f>
        <v>15.974644354743925</v>
      </c>
      <c r="Q65" s="53">
        <f>N65-450.01</f>
        <v>-286.9599999999998</v>
      </c>
      <c r="R65" s="129">
        <f>N65/450.01</f>
        <v>0.36232528166040795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</v>
      </c>
      <c r="G66" s="43">
        <f t="shared" si="8"/>
        <v>801.8999999999999</v>
      </c>
      <c r="H66" s="35">
        <f>F66/E66*100</f>
        <v>177.35121057200732</v>
      </c>
      <c r="I66" s="53">
        <f t="shared" si="9"/>
        <v>-1161.4</v>
      </c>
      <c r="J66" s="53">
        <f t="shared" si="11"/>
        <v>61.28666666666667</v>
      </c>
      <c r="K66" s="53">
        <f>F66-864.62</f>
        <v>973.9799999999999</v>
      </c>
      <c r="L66" s="53">
        <f>F66/864.62*100</f>
        <v>212.648331058731</v>
      </c>
      <c r="M66" s="35">
        <f>E66-липень!E66</f>
        <v>148.10000000000002</v>
      </c>
      <c r="N66" s="35">
        <f>F66-липень!F66</f>
        <v>19.95999999999981</v>
      </c>
      <c r="O66" s="47">
        <f t="shared" si="10"/>
        <v>-128.1400000000002</v>
      </c>
      <c r="P66" s="53">
        <f>N66/M66*100</f>
        <v>13.477380148548146</v>
      </c>
      <c r="Q66" s="53">
        <f>N66-1.05</f>
        <v>18.90999999999981</v>
      </c>
      <c r="R66" s="129">
        <f>N66/1.05</f>
        <v>19.00952380952363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6174.380000000001</v>
      </c>
      <c r="G67" s="55">
        <f t="shared" si="8"/>
        <v>-595.7599999999984</v>
      </c>
      <c r="H67" s="65">
        <f>F67/E67*100</f>
        <v>91.2001819755574</v>
      </c>
      <c r="I67" s="54">
        <f t="shared" si="9"/>
        <v>-10901.619999999999</v>
      </c>
      <c r="J67" s="54">
        <f t="shared" si="11"/>
        <v>36.15823377840244</v>
      </c>
      <c r="K67" s="54">
        <f>K64+K65+K66</f>
        <v>1263.29</v>
      </c>
      <c r="L67" s="54"/>
      <c r="M67" s="55">
        <f>M64+M65+M66</f>
        <v>1768.7799999999993</v>
      </c>
      <c r="N67" s="55">
        <f>N64+N65+N66</f>
        <v>183.01</v>
      </c>
      <c r="O67" s="54">
        <f t="shared" si="10"/>
        <v>-1585.7699999999993</v>
      </c>
      <c r="P67" s="54">
        <f>N67/M67*100</f>
        <v>10.346679632288925</v>
      </c>
      <c r="Q67" s="54">
        <f>N67-7985.28</f>
        <v>-7802.2699999999995</v>
      </c>
      <c r="R67" s="173">
        <f>N67/7985.28</f>
        <v>0.022918419892602387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F70-0.85</f>
        <v>-0.13</v>
      </c>
      <c r="L70" s="53">
        <f>F70/0.85*100</f>
        <v>84.70588235294117</v>
      </c>
      <c r="M70" s="35">
        <f>E70-липень!E70</f>
        <v>0</v>
      </c>
      <c r="N70" s="35">
        <f>F70-липень!F70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0.8999999999999999</v>
      </c>
      <c r="G71" s="55">
        <f>F71-E71</f>
        <v>-26.1</v>
      </c>
      <c r="H71" s="65"/>
      <c r="I71" s="54">
        <f>F71-D71</f>
        <v>-53.1</v>
      </c>
      <c r="J71" s="54">
        <f>F71/D71*100</f>
        <v>1.6666666666666667</v>
      </c>
      <c r="K71" s="54">
        <f>K68+K69+K70</f>
        <v>-33.6</v>
      </c>
      <c r="L71" s="54"/>
      <c r="M71" s="55">
        <f>M68+M70+M69</f>
        <v>1</v>
      </c>
      <c r="N71" s="55">
        <f>N68+N70+N69</f>
        <v>0.09</v>
      </c>
      <c r="O71" s="54">
        <f>N71-M71</f>
        <v>-0.91</v>
      </c>
      <c r="P71" s="54"/>
      <c r="Q71" s="54">
        <f>N71-26.38</f>
        <v>-26.29</v>
      </c>
      <c r="R71" s="128">
        <f>N71/26.38</f>
        <v>0.003411675511751327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20.68</v>
      </c>
      <c r="G72" s="43">
        <f>F72-E72</f>
        <v>-2.539999999999999</v>
      </c>
      <c r="H72" s="35">
        <f>F72/E72*100</f>
        <v>89.06115417743325</v>
      </c>
      <c r="I72" s="53">
        <f>F72-D72</f>
        <v>-21.32</v>
      </c>
      <c r="J72" s="53">
        <f>F72/D72*100</f>
        <v>49.238095238095234</v>
      </c>
      <c r="K72" s="53">
        <f>F72-22.62</f>
        <v>-1.9400000000000013</v>
      </c>
      <c r="L72" s="53">
        <f>F72/22.62*100</f>
        <v>91.42351900972591</v>
      </c>
      <c r="M72" s="35">
        <f>E72-липень!E72</f>
        <v>0.23000000000000043</v>
      </c>
      <c r="N72" s="35">
        <f>F72-липень!F72</f>
        <v>0.129999999999999</v>
      </c>
      <c r="O72" s="47">
        <f>N72-M72</f>
        <v>-0.10000000000000142</v>
      </c>
      <c r="P72" s="53">
        <f>N72/M72*100</f>
        <v>56.52173913043425</v>
      </c>
      <c r="Q72" s="53">
        <f>N72-0.45</f>
        <v>-0.320000000000001</v>
      </c>
      <c r="R72" s="129">
        <f>N72/0.45</f>
        <v>0.2888888888888867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6146.97</v>
      </c>
      <c r="G74" s="44">
        <f>F74-E74</f>
        <v>-673.3899999999994</v>
      </c>
      <c r="H74" s="45">
        <f>F74/E74*100</f>
        <v>90.1267675020087</v>
      </c>
      <c r="I74" s="31">
        <f>F74-D74</f>
        <v>-11025.029999999999</v>
      </c>
      <c r="J74" s="31">
        <f>F74/D74*100</f>
        <v>35.79647099930119</v>
      </c>
      <c r="K74" s="31">
        <f>K62+K67+K71+K72</f>
        <v>972.1999999999999</v>
      </c>
      <c r="L74" s="31"/>
      <c r="M74" s="27">
        <f>M62+M72+M67+M71</f>
        <v>1770.0099999999993</v>
      </c>
      <c r="N74" s="27">
        <f>N62+N72+N67+N71+N73</f>
        <v>183.23</v>
      </c>
      <c r="O74" s="31">
        <f>N74-M74</f>
        <v>-1586.7799999999993</v>
      </c>
      <c r="P74" s="31">
        <f>N74/M74*100</f>
        <v>10.351918915712343</v>
      </c>
      <c r="Q74" s="31">
        <f>N74-8104.96</f>
        <v>-7921.7300000000005</v>
      </c>
      <c r="R74" s="127">
        <f>N74/8104.96</f>
        <v>0.02260714426721415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438285.99</v>
      </c>
      <c r="G75" s="44">
        <f>F75-E75</f>
        <v>-1717.8699999999371</v>
      </c>
      <c r="H75" s="45">
        <f>F75/E75*100</f>
        <v>99.60957842506201</v>
      </c>
      <c r="I75" s="31">
        <f>F75-D75</f>
        <v>-179908.61</v>
      </c>
      <c r="J75" s="31">
        <f>F75/D75*100</f>
        <v>70.89773834970413</v>
      </c>
      <c r="K75" s="31">
        <f>K55+K74</f>
        <v>101840.806</v>
      </c>
      <c r="L75" s="31">
        <f>F75/(F75-K75)*100</f>
        <v>130.26965783525674</v>
      </c>
      <c r="M75" s="18">
        <f>M55+M74</f>
        <v>99595.10999999999</v>
      </c>
      <c r="N75" s="18">
        <f>N55+N74</f>
        <v>46710.26999999998</v>
      </c>
      <c r="O75" s="31">
        <f>N75-M75</f>
        <v>-52884.840000000004</v>
      </c>
      <c r="P75" s="31">
        <f>N75/M75*100</f>
        <v>46.90016407432051</v>
      </c>
      <c r="Q75" s="31">
        <f>N75-42872.96</f>
        <v>3837.309999999983</v>
      </c>
      <c r="R75" s="127">
        <f>N75/42872.96</f>
        <v>1.0895042003164694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4</v>
      </c>
      <c r="D77" s="4" t="s">
        <v>118</v>
      </c>
    </row>
    <row r="78" spans="2:17" ht="31.5">
      <c r="B78" s="71" t="s">
        <v>154</v>
      </c>
      <c r="C78" s="34">
        <f>IF(O55&lt;0,ABS(O55/C77),0)</f>
        <v>12824.515000000003</v>
      </c>
      <c r="D78" s="4" t="s">
        <v>104</v>
      </c>
      <c r="G78" s="239"/>
      <c r="H78" s="239"/>
      <c r="I78" s="239"/>
      <c r="J78" s="239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42241</v>
      </c>
      <c r="D79" s="4">
        <v>2121.5</v>
      </c>
      <c r="N79" s="235"/>
      <c r="O79" s="235"/>
    </row>
    <row r="80" spans="3:15" ht="15.75">
      <c r="C80" s="111">
        <v>42237</v>
      </c>
      <c r="D80" s="4">
        <v>3191.6</v>
      </c>
      <c r="F80" s="155" t="s">
        <v>166</v>
      </c>
      <c r="G80" s="227"/>
      <c r="H80" s="227"/>
      <c r="I80" s="177"/>
      <c r="J80" s="233"/>
      <c r="K80" s="233"/>
      <c r="L80" s="233"/>
      <c r="M80" s="233"/>
      <c r="N80" s="235"/>
      <c r="O80" s="235"/>
    </row>
    <row r="81" spans="3:15" ht="15.75" customHeight="1">
      <c r="C81" s="111">
        <v>42236</v>
      </c>
      <c r="D81" s="4">
        <v>2891.4</v>
      </c>
      <c r="F81" s="90"/>
      <c r="G81" s="227"/>
      <c r="H81" s="227"/>
      <c r="I81" s="177"/>
      <c r="J81" s="234"/>
      <c r="K81" s="234"/>
      <c r="L81" s="234"/>
      <c r="M81" s="234"/>
      <c r="N81" s="235"/>
      <c r="O81" s="235"/>
    </row>
    <row r="82" spans="3:13" ht="15.75" customHeight="1">
      <c r="C82" s="111"/>
      <c r="F82" s="90"/>
      <c r="G82" s="236"/>
      <c r="H82" s="236"/>
      <c r="I82" s="221"/>
      <c r="J82" s="233"/>
      <c r="K82" s="233"/>
      <c r="L82" s="233"/>
      <c r="M82" s="233"/>
    </row>
    <row r="83" spans="2:13" ht="18.75" customHeight="1">
      <c r="B83" s="231" t="s">
        <v>160</v>
      </c>
      <c r="C83" s="232"/>
      <c r="D83" s="108">
        <f>'[3]залишки  (2)'!$G$6/1000</f>
        <v>3371.12779</v>
      </c>
      <c r="E83" s="220"/>
      <c r="F83" s="222"/>
      <c r="G83" s="227"/>
      <c r="H83" s="227"/>
      <c r="I83" s="223"/>
      <c r="J83" s="233"/>
      <c r="K83" s="233"/>
      <c r="L83" s="233"/>
      <c r="M83" s="233"/>
    </row>
    <row r="84" spans="6:12" ht="9.75" customHeight="1">
      <c r="F84" s="90"/>
      <c r="G84" s="227"/>
      <c r="H84" s="227"/>
      <c r="I84" s="90"/>
      <c r="J84" s="91"/>
      <c r="K84" s="91"/>
      <c r="L84" s="91"/>
    </row>
    <row r="85" spans="2:12" ht="22.5" customHeight="1" hidden="1">
      <c r="B85" s="228" t="s">
        <v>167</v>
      </c>
      <c r="C85" s="229"/>
      <c r="D85" s="110">
        <v>0</v>
      </c>
      <c r="E85" s="70" t="s">
        <v>104</v>
      </c>
      <c r="F85" s="90"/>
      <c r="G85" s="227"/>
      <c r="H85" s="227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7"/>
      <c r="O86" s="227"/>
    </row>
    <row r="87" spans="4:15" ht="15.75">
      <c r="D87" s="104"/>
      <c r="I87" s="34"/>
      <c r="N87" s="230"/>
      <c r="O87" s="230"/>
    </row>
    <row r="88" spans="14:15" ht="15.75">
      <c r="N88" s="227"/>
      <c r="O88" s="227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2" top="0.25" bottom="0.26" header="0.14" footer="0.17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55" sqref="M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0" t="s">
        <v>289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17"/>
      <c r="R1" s="118"/>
    </row>
    <row r="2" spans="2:18" s="1" customFormat="1" ht="15.75" customHeight="1">
      <c r="B2" s="251"/>
      <c r="C2" s="251"/>
      <c r="D2" s="251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2"/>
      <c r="B3" s="254"/>
      <c r="C3" s="255" t="s">
        <v>0</v>
      </c>
      <c r="D3" s="256" t="s">
        <v>261</v>
      </c>
      <c r="E3" s="40"/>
      <c r="F3" s="257" t="s">
        <v>107</v>
      </c>
      <c r="G3" s="258"/>
      <c r="H3" s="258"/>
      <c r="I3" s="258"/>
      <c r="J3" s="259"/>
      <c r="K3" s="114"/>
      <c r="L3" s="114"/>
      <c r="M3" s="260" t="s">
        <v>285</v>
      </c>
      <c r="N3" s="261" t="s">
        <v>286</v>
      </c>
      <c r="O3" s="261"/>
      <c r="P3" s="261"/>
      <c r="Q3" s="261"/>
      <c r="R3" s="261"/>
    </row>
    <row r="4" spans="1:18" ht="22.5" customHeight="1">
      <c r="A4" s="252"/>
      <c r="B4" s="254"/>
      <c r="C4" s="255"/>
      <c r="D4" s="256"/>
      <c r="E4" s="262" t="s">
        <v>282</v>
      </c>
      <c r="F4" s="244" t="s">
        <v>116</v>
      </c>
      <c r="G4" s="246" t="s">
        <v>283</v>
      </c>
      <c r="H4" s="248" t="s">
        <v>284</v>
      </c>
      <c r="I4" s="226" t="s">
        <v>217</v>
      </c>
      <c r="J4" s="240" t="s">
        <v>218</v>
      </c>
      <c r="K4" s="116" t="s">
        <v>172</v>
      </c>
      <c r="L4" s="121" t="s">
        <v>171</v>
      </c>
      <c r="M4" s="240"/>
      <c r="N4" s="242" t="s">
        <v>290</v>
      </c>
      <c r="O4" s="226" t="s">
        <v>136</v>
      </c>
      <c r="P4" s="243" t="s">
        <v>135</v>
      </c>
      <c r="Q4" s="122" t="s">
        <v>172</v>
      </c>
      <c r="R4" s="123" t="s">
        <v>171</v>
      </c>
    </row>
    <row r="5" spans="1:19" ht="92.25" customHeight="1">
      <c r="A5" s="253"/>
      <c r="B5" s="254"/>
      <c r="C5" s="255"/>
      <c r="D5" s="256"/>
      <c r="E5" s="263"/>
      <c r="F5" s="245"/>
      <c r="G5" s="247"/>
      <c r="H5" s="249"/>
      <c r="I5" s="224"/>
      <c r="J5" s="241"/>
      <c r="K5" s="237" t="s">
        <v>287</v>
      </c>
      <c r="L5" s="238"/>
      <c r="M5" s="241"/>
      <c r="N5" s="225"/>
      <c r="O5" s="224"/>
      <c r="P5" s="243"/>
      <c r="Q5" s="237" t="s">
        <v>176</v>
      </c>
      <c r="R5" s="23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39"/>
      <c r="H78" s="239"/>
      <c r="I78" s="239"/>
      <c r="J78" s="239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35"/>
      <c r="O79" s="235"/>
    </row>
    <row r="80" spans="3:15" ht="15.75">
      <c r="C80" s="111">
        <v>42215</v>
      </c>
      <c r="D80" s="34">
        <v>7239.9</v>
      </c>
      <c r="F80" s="155" t="s">
        <v>166</v>
      </c>
      <c r="G80" s="227"/>
      <c r="H80" s="227"/>
      <c r="I80" s="177"/>
      <c r="J80" s="233"/>
      <c r="K80" s="233"/>
      <c r="L80" s="233"/>
      <c r="M80" s="233"/>
      <c r="N80" s="235"/>
      <c r="O80" s="235"/>
    </row>
    <row r="81" spans="3:15" ht="15.75" customHeight="1">
      <c r="C81" s="111">
        <v>42214</v>
      </c>
      <c r="D81" s="34">
        <v>4823.1</v>
      </c>
      <c r="G81" s="264" t="s">
        <v>151</v>
      </c>
      <c r="H81" s="264"/>
      <c r="I81" s="106">
        <v>8909.73221</v>
      </c>
      <c r="J81" s="234"/>
      <c r="K81" s="234"/>
      <c r="L81" s="234"/>
      <c r="M81" s="234"/>
      <c r="N81" s="235"/>
      <c r="O81" s="235"/>
    </row>
    <row r="82" spans="3:13" ht="15.75" customHeight="1">
      <c r="C82" s="111"/>
      <c r="G82" s="265" t="s">
        <v>234</v>
      </c>
      <c r="H82" s="266"/>
      <c r="I82" s="103">
        <v>0</v>
      </c>
      <c r="J82" s="233"/>
      <c r="K82" s="233"/>
      <c r="L82" s="233"/>
      <c r="M82" s="233"/>
    </row>
    <row r="83" spans="2:13" ht="18.75" customHeight="1">
      <c r="B83" s="231" t="s">
        <v>160</v>
      </c>
      <c r="C83" s="232"/>
      <c r="D83" s="108">
        <v>24842.96012</v>
      </c>
      <c r="E83" s="73"/>
      <c r="F83" s="156" t="s">
        <v>147</v>
      </c>
      <c r="G83" s="264" t="s">
        <v>149</v>
      </c>
      <c r="H83" s="264"/>
      <c r="I83" s="107">
        <v>15933.22791</v>
      </c>
      <c r="J83" s="233"/>
      <c r="K83" s="233"/>
      <c r="L83" s="233"/>
      <c r="M83" s="233"/>
    </row>
    <row r="84" spans="7:12" ht="9.75" customHeight="1">
      <c r="G84" s="227"/>
      <c r="H84" s="227"/>
      <c r="I84" s="90"/>
      <c r="J84" s="91"/>
      <c r="K84" s="91"/>
      <c r="L84" s="91"/>
    </row>
    <row r="85" spans="2:12" ht="22.5" customHeight="1" hidden="1">
      <c r="B85" s="228" t="s">
        <v>167</v>
      </c>
      <c r="C85" s="229"/>
      <c r="D85" s="110">
        <v>0</v>
      </c>
      <c r="E85" s="70" t="s">
        <v>104</v>
      </c>
      <c r="G85" s="227"/>
      <c r="H85" s="227"/>
      <c r="I85" s="90"/>
      <c r="J85" s="91"/>
      <c r="K85" s="91"/>
      <c r="L85" s="91"/>
    </row>
    <row r="86" spans="4:15" ht="15.75">
      <c r="D86" s="105"/>
      <c r="N86" s="227"/>
      <c r="O86" s="227"/>
    </row>
    <row r="87" spans="4:15" ht="15.75">
      <c r="D87" s="104"/>
      <c r="I87" s="34"/>
      <c r="N87" s="230"/>
      <c r="O87" s="230"/>
    </row>
    <row r="88" spans="14:15" ht="15.75">
      <c r="N88" s="227"/>
      <c r="O88" s="227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1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9" t="s">
        <v>280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117"/>
      <c r="R1" s="118"/>
    </row>
    <row r="2" spans="2:18" s="1" customFormat="1" ht="15.75" customHeight="1">
      <c r="B2" s="251"/>
      <c r="C2" s="251"/>
      <c r="D2" s="251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2"/>
      <c r="B3" s="254"/>
      <c r="C3" s="255" t="s">
        <v>0</v>
      </c>
      <c r="D3" s="256" t="s">
        <v>261</v>
      </c>
      <c r="E3" s="40"/>
      <c r="F3" s="257" t="s">
        <v>107</v>
      </c>
      <c r="G3" s="258"/>
      <c r="H3" s="258"/>
      <c r="I3" s="258"/>
      <c r="J3" s="259"/>
      <c r="K3" s="114"/>
      <c r="L3" s="114"/>
      <c r="M3" s="260" t="s">
        <v>277</v>
      </c>
      <c r="N3" s="261" t="s">
        <v>278</v>
      </c>
      <c r="O3" s="261"/>
      <c r="P3" s="261"/>
      <c r="Q3" s="261"/>
      <c r="R3" s="261"/>
    </row>
    <row r="4" spans="1:18" ht="22.5" customHeight="1">
      <c r="A4" s="252"/>
      <c r="B4" s="254"/>
      <c r="C4" s="255"/>
      <c r="D4" s="256"/>
      <c r="E4" s="262" t="s">
        <v>279</v>
      </c>
      <c r="F4" s="267" t="s">
        <v>116</v>
      </c>
      <c r="G4" s="246" t="s">
        <v>275</v>
      </c>
      <c r="H4" s="248" t="s">
        <v>276</v>
      </c>
      <c r="I4" s="226" t="s">
        <v>217</v>
      </c>
      <c r="J4" s="240" t="s">
        <v>218</v>
      </c>
      <c r="K4" s="116" t="s">
        <v>172</v>
      </c>
      <c r="L4" s="121" t="s">
        <v>171</v>
      </c>
      <c r="M4" s="240"/>
      <c r="N4" s="242" t="s">
        <v>281</v>
      </c>
      <c r="O4" s="226" t="s">
        <v>136</v>
      </c>
      <c r="P4" s="243" t="s">
        <v>135</v>
      </c>
      <c r="Q4" s="122" t="s">
        <v>172</v>
      </c>
      <c r="R4" s="123" t="s">
        <v>171</v>
      </c>
    </row>
    <row r="5" spans="1:19" ht="92.25" customHeight="1">
      <c r="A5" s="253"/>
      <c r="B5" s="254"/>
      <c r="C5" s="255"/>
      <c r="D5" s="256"/>
      <c r="E5" s="263"/>
      <c r="F5" s="268"/>
      <c r="G5" s="247"/>
      <c r="H5" s="249"/>
      <c r="I5" s="224"/>
      <c r="J5" s="241"/>
      <c r="K5" s="237" t="s">
        <v>288</v>
      </c>
      <c r="L5" s="238"/>
      <c r="M5" s="241"/>
      <c r="N5" s="225"/>
      <c r="O5" s="224"/>
      <c r="P5" s="243"/>
      <c r="Q5" s="237" t="s">
        <v>176</v>
      </c>
      <c r="R5" s="23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39"/>
      <c r="H78" s="239"/>
      <c r="I78" s="239"/>
      <c r="J78" s="239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5"/>
      <c r="O79" s="235"/>
    </row>
    <row r="80" spans="3:15" ht="15.75">
      <c r="C80" s="111">
        <v>42181</v>
      </c>
      <c r="D80" s="34">
        <v>8722.4</v>
      </c>
      <c r="F80" s="217" t="s">
        <v>166</v>
      </c>
      <c r="G80" s="227"/>
      <c r="H80" s="227"/>
      <c r="I80" s="177"/>
      <c r="J80" s="233"/>
      <c r="K80" s="233"/>
      <c r="L80" s="233"/>
      <c r="M80" s="233"/>
      <c r="N80" s="235"/>
      <c r="O80" s="235"/>
    </row>
    <row r="81" spans="3:15" ht="15.75" customHeight="1">
      <c r="C81" s="111">
        <v>42180</v>
      </c>
      <c r="D81" s="34">
        <v>4146.6</v>
      </c>
      <c r="G81" s="264" t="s">
        <v>151</v>
      </c>
      <c r="H81" s="264"/>
      <c r="I81" s="106">
        <v>8909.73221</v>
      </c>
      <c r="J81" s="234"/>
      <c r="K81" s="234"/>
      <c r="L81" s="234"/>
      <c r="M81" s="234"/>
      <c r="N81" s="235"/>
      <c r="O81" s="235"/>
    </row>
    <row r="82" spans="3:13" ht="15.75" customHeight="1">
      <c r="C82" s="111"/>
      <c r="G82" s="265" t="s">
        <v>234</v>
      </c>
      <c r="H82" s="266"/>
      <c r="I82" s="103">
        <v>0</v>
      </c>
      <c r="J82" s="233"/>
      <c r="K82" s="233"/>
      <c r="L82" s="233"/>
      <c r="M82" s="233"/>
    </row>
    <row r="83" spans="2:13" ht="18.75" customHeight="1">
      <c r="B83" s="231" t="s">
        <v>160</v>
      </c>
      <c r="C83" s="232"/>
      <c r="D83" s="108">
        <v>152943.93305000002</v>
      </c>
      <c r="E83" s="73"/>
      <c r="F83" s="218" t="s">
        <v>147</v>
      </c>
      <c r="G83" s="264" t="s">
        <v>149</v>
      </c>
      <c r="H83" s="264"/>
      <c r="I83" s="107">
        <v>144034.20084</v>
      </c>
      <c r="J83" s="233"/>
      <c r="K83" s="233"/>
      <c r="L83" s="233"/>
      <c r="M83" s="233"/>
    </row>
    <row r="84" spans="7:12" ht="9.75" customHeight="1">
      <c r="G84" s="227"/>
      <c r="H84" s="227"/>
      <c r="I84" s="90"/>
      <c r="J84" s="91"/>
      <c r="K84" s="91"/>
      <c r="L84" s="91"/>
    </row>
    <row r="85" spans="2:12" ht="22.5" customHeight="1" hidden="1">
      <c r="B85" s="228" t="s">
        <v>167</v>
      </c>
      <c r="C85" s="229"/>
      <c r="D85" s="110">
        <v>0</v>
      </c>
      <c r="E85" s="70" t="s">
        <v>104</v>
      </c>
      <c r="G85" s="227"/>
      <c r="H85" s="227"/>
      <c r="I85" s="90"/>
      <c r="J85" s="91"/>
      <c r="K85" s="91"/>
      <c r="L85" s="91"/>
    </row>
    <row r="86" spans="4:15" ht="15.75">
      <c r="D86" s="105"/>
      <c r="N86" s="227"/>
      <c r="O86" s="227"/>
    </row>
    <row r="87" spans="4:15" ht="15.75">
      <c r="D87" s="104"/>
      <c r="I87" s="34"/>
      <c r="N87" s="230"/>
      <c r="O87" s="230"/>
    </row>
    <row r="88" spans="14:15" ht="15.75">
      <c r="N88" s="227"/>
      <c r="O88" s="227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0" t="s">
        <v>274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17"/>
      <c r="R1" s="118"/>
    </row>
    <row r="2" spans="2:18" s="1" customFormat="1" ht="15.75" customHeight="1">
      <c r="B2" s="251"/>
      <c r="C2" s="251"/>
      <c r="D2" s="251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2"/>
      <c r="B3" s="254"/>
      <c r="C3" s="255" t="s">
        <v>0</v>
      </c>
      <c r="D3" s="256" t="s">
        <v>261</v>
      </c>
      <c r="E3" s="40"/>
      <c r="F3" s="257" t="s">
        <v>107</v>
      </c>
      <c r="G3" s="258"/>
      <c r="H3" s="258"/>
      <c r="I3" s="258"/>
      <c r="J3" s="259"/>
      <c r="K3" s="114"/>
      <c r="L3" s="114"/>
      <c r="M3" s="260" t="s">
        <v>266</v>
      </c>
      <c r="N3" s="261" t="s">
        <v>267</v>
      </c>
      <c r="O3" s="261"/>
      <c r="P3" s="261"/>
      <c r="Q3" s="261"/>
      <c r="R3" s="261"/>
    </row>
    <row r="4" spans="1:18" ht="22.5" customHeight="1">
      <c r="A4" s="252"/>
      <c r="B4" s="254"/>
      <c r="C4" s="255"/>
      <c r="D4" s="256"/>
      <c r="E4" s="262" t="s">
        <v>262</v>
      </c>
      <c r="F4" s="244" t="s">
        <v>116</v>
      </c>
      <c r="G4" s="246" t="s">
        <v>263</v>
      </c>
      <c r="H4" s="248" t="s">
        <v>264</v>
      </c>
      <c r="I4" s="226" t="s">
        <v>217</v>
      </c>
      <c r="J4" s="240" t="s">
        <v>218</v>
      </c>
      <c r="K4" s="116" t="s">
        <v>172</v>
      </c>
      <c r="L4" s="121" t="s">
        <v>171</v>
      </c>
      <c r="M4" s="240"/>
      <c r="N4" s="242" t="s">
        <v>273</v>
      </c>
      <c r="O4" s="226" t="s">
        <v>136</v>
      </c>
      <c r="P4" s="243" t="s">
        <v>135</v>
      </c>
      <c r="Q4" s="122" t="s">
        <v>172</v>
      </c>
      <c r="R4" s="123" t="s">
        <v>171</v>
      </c>
    </row>
    <row r="5" spans="1:19" ht="92.25" customHeight="1">
      <c r="A5" s="253"/>
      <c r="B5" s="254"/>
      <c r="C5" s="255"/>
      <c r="D5" s="256"/>
      <c r="E5" s="263"/>
      <c r="F5" s="245"/>
      <c r="G5" s="247"/>
      <c r="H5" s="249"/>
      <c r="I5" s="224"/>
      <c r="J5" s="241"/>
      <c r="K5" s="237" t="s">
        <v>265</v>
      </c>
      <c r="L5" s="238"/>
      <c r="M5" s="241"/>
      <c r="N5" s="225"/>
      <c r="O5" s="224"/>
      <c r="P5" s="243"/>
      <c r="Q5" s="237" t="s">
        <v>176</v>
      </c>
      <c r="R5" s="23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39"/>
      <c r="H78" s="239"/>
      <c r="I78" s="239"/>
      <c r="J78" s="239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5"/>
      <c r="O79" s="235"/>
    </row>
    <row r="80" spans="3:15" ht="15.75">
      <c r="C80" s="111">
        <v>42152</v>
      </c>
      <c r="D80" s="34">
        <v>5845.4</v>
      </c>
      <c r="F80" s="155" t="s">
        <v>166</v>
      </c>
      <c r="G80" s="227"/>
      <c r="H80" s="227"/>
      <c r="I80" s="177"/>
      <c r="J80" s="233"/>
      <c r="K80" s="233"/>
      <c r="L80" s="233"/>
      <c r="M80" s="233"/>
      <c r="N80" s="235"/>
      <c r="O80" s="235"/>
    </row>
    <row r="81" spans="3:15" ht="15.75" customHeight="1">
      <c r="C81" s="111">
        <v>42151</v>
      </c>
      <c r="D81" s="34">
        <v>3158.7</v>
      </c>
      <c r="G81" s="264" t="s">
        <v>151</v>
      </c>
      <c r="H81" s="264"/>
      <c r="I81" s="106">
        <v>8909.73221</v>
      </c>
      <c r="J81" s="234"/>
      <c r="K81" s="234"/>
      <c r="L81" s="234"/>
      <c r="M81" s="234"/>
      <c r="N81" s="235"/>
      <c r="O81" s="235"/>
    </row>
    <row r="82" spans="7:13" ht="15.75" customHeight="1">
      <c r="G82" s="265" t="s">
        <v>234</v>
      </c>
      <c r="H82" s="266"/>
      <c r="I82" s="103">
        <v>0</v>
      </c>
      <c r="J82" s="233"/>
      <c r="K82" s="233"/>
      <c r="L82" s="233"/>
      <c r="M82" s="233"/>
    </row>
    <row r="83" spans="2:13" ht="18.75" customHeight="1">
      <c r="B83" s="231" t="s">
        <v>160</v>
      </c>
      <c r="C83" s="232"/>
      <c r="D83" s="108">
        <v>153606.78</v>
      </c>
      <c r="E83" s="73"/>
      <c r="F83" s="156" t="s">
        <v>147</v>
      </c>
      <c r="G83" s="264" t="s">
        <v>149</v>
      </c>
      <c r="H83" s="264"/>
      <c r="I83" s="107">
        <v>144697.05</v>
      </c>
      <c r="J83" s="233"/>
      <c r="K83" s="233"/>
      <c r="L83" s="233"/>
      <c r="M83" s="233"/>
    </row>
    <row r="84" spans="7:12" ht="9.75" customHeight="1">
      <c r="G84" s="227"/>
      <c r="H84" s="227"/>
      <c r="I84" s="90"/>
      <c r="J84" s="91"/>
      <c r="K84" s="91"/>
      <c r="L84" s="91"/>
    </row>
    <row r="85" spans="2:12" ht="22.5" customHeight="1" hidden="1">
      <c r="B85" s="228" t="s">
        <v>167</v>
      </c>
      <c r="C85" s="229"/>
      <c r="D85" s="110">
        <v>0</v>
      </c>
      <c r="E85" s="70" t="s">
        <v>104</v>
      </c>
      <c r="G85" s="227"/>
      <c r="H85" s="227"/>
      <c r="I85" s="90"/>
      <c r="J85" s="91"/>
      <c r="K85" s="91"/>
      <c r="L85" s="91"/>
    </row>
    <row r="86" spans="4:15" ht="15.75">
      <c r="D86" s="105"/>
      <c r="N86" s="227"/>
      <c r="O86" s="227"/>
    </row>
    <row r="87" spans="4:15" ht="15.75">
      <c r="D87" s="104"/>
      <c r="I87" s="34"/>
      <c r="N87" s="230"/>
      <c r="O87" s="230"/>
    </row>
    <row r="88" spans="14:15" ht="15.75">
      <c r="N88" s="227"/>
      <c r="O88" s="227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0" t="s">
        <v>259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17"/>
      <c r="R1" s="118"/>
    </row>
    <row r="2" spans="2:18" s="1" customFormat="1" ht="15.75" customHeight="1">
      <c r="B2" s="251"/>
      <c r="C2" s="251"/>
      <c r="D2" s="251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2"/>
      <c r="B3" s="254"/>
      <c r="C3" s="255" t="s">
        <v>0</v>
      </c>
      <c r="D3" s="256" t="s">
        <v>261</v>
      </c>
      <c r="E3" s="40"/>
      <c r="F3" s="257" t="s">
        <v>107</v>
      </c>
      <c r="G3" s="258"/>
      <c r="H3" s="258"/>
      <c r="I3" s="258"/>
      <c r="J3" s="259"/>
      <c r="K3" s="114"/>
      <c r="L3" s="114"/>
      <c r="M3" s="260" t="s">
        <v>240</v>
      </c>
      <c r="N3" s="261" t="s">
        <v>241</v>
      </c>
      <c r="O3" s="261"/>
      <c r="P3" s="261"/>
      <c r="Q3" s="261"/>
      <c r="R3" s="261"/>
    </row>
    <row r="4" spans="1:18" ht="22.5" customHeight="1">
      <c r="A4" s="252"/>
      <c r="B4" s="254"/>
      <c r="C4" s="255"/>
      <c r="D4" s="256"/>
      <c r="E4" s="262" t="s">
        <v>237</v>
      </c>
      <c r="F4" s="270" t="s">
        <v>116</v>
      </c>
      <c r="G4" s="246" t="s">
        <v>238</v>
      </c>
      <c r="H4" s="248" t="s">
        <v>239</v>
      </c>
      <c r="I4" s="226" t="s">
        <v>217</v>
      </c>
      <c r="J4" s="240" t="s">
        <v>218</v>
      </c>
      <c r="K4" s="116" t="s">
        <v>172</v>
      </c>
      <c r="L4" s="121" t="s">
        <v>171</v>
      </c>
      <c r="M4" s="240"/>
      <c r="N4" s="242" t="s">
        <v>260</v>
      </c>
      <c r="O4" s="226" t="s">
        <v>136</v>
      </c>
      <c r="P4" s="243" t="s">
        <v>135</v>
      </c>
      <c r="Q4" s="122" t="s">
        <v>172</v>
      </c>
      <c r="R4" s="123" t="s">
        <v>171</v>
      </c>
    </row>
    <row r="5" spans="1:19" ht="92.25" customHeight="1">
      <c r="A5" s="253"/>
      <c r="B5" s="254"/>
      <c r="C5" s="255"/>
      <c r="D5" s="256"/>
      <c r="E5" s="263"/>
      <c r="F5" s="271"/>
      <c r="G5" s="247"/>
      <c r="H5" s="249"/>
      <c r="I5" s="224"/>
      <c r="J5" s="241"/>
      <c r="K5" s="237" t="s">
        <v>242</v>
      </c>
      <c r="L5" s="238"/>
      <c r="M5" s="241"/>
      <c r="N5" s="225"/>
      <c r="O5" s="224"/>
      <c r="P5" s="243"/>
      <c r="Q5" s="237" t="s">
        <v>176</v>
      </c>
      <c r="R5" s="23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39"/>
      <c r="H103" s="239"/>
      <c r="I103" s="239"/>
      <c r="J103" s="239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5"/>
      <c r="O104" s="235"/>
    </row>
    <row r="105" spans="3:15" ht="15.75">
      <c r="C105" s="111">
        <v>42123</v>
      </c>
      <c r="D105" s="34">
        <v>7959.6</v>
      </c>
      <c r="F105" s="201" t="s">
        <v>166</v>
      </c>
      <c r="G105" s="227"/>
      <c r="H105" s="227"/>
      <c r="I105" s="177"/>
      <c r="J105" s="233"/>
      <c r="K105" s="233"/>
      <c r="L105" s="233"/>
      <c r="M105" s="233"/>
      <c r="N105" s="235"/>
      <c r="O105" s="235"/>
    </row>
    <row r="106" spans="3:15" ht="15.75" customHeight="1">
      <c r="C106" s="111">
        <v>42122</v>
      </c>
      <c r="D106" s="34">
        <v>4962.7</v>
      </c>
      <c r="G106" s="264" t="s">
        <v>151</v>
      </c>
      <c r="H106" s="264"/>
      <c r="I106" s="106">
        <v>8909.73221</v>
      </c>
      <c r="J106" s="234"/>
      <c r="K106" s="234"/>
      <c r="L106" s="234"/>
      <c r="M106" s="234"/>
      <c r="N106" s="235"/>
      <c r="O106" s="235"/>
    </row>
    <row r="107" spans="7:13" ht="15.75" customHeight="1">
      <c r="G107" s="265" t="s">
        <v>234</v>
      </c>
      <c r="H107" s="266"/>
      <c r="I107" s="103">
        <v>0</v>
      </c>
      <c r="J107" s="233"/>
      <c r="K107" s="233"/>
      <c r="L107" s="233"/>
      <c r="M107" s="233"/>
    </row>
    <row r="108" spans="2:13" ht="18.75" customHeight="1">
      <c r="B108" s="231" t="s">
        <v>160</v>
      </c>
      <c r="C108" s="232"/>
      <c r="D108" s="108">
        <v>154856.06924</v>
      </c>
      <c r="E108" s="73"/>
      <c r="F108" s="202" t="s">
        <v>147</v>
      </c>
      <c r="G108" s="264" t="s">
        <v>149</v>
      </c>
      <c r="H108" s="264"/>
      <c r="I108" s="107">
        <v>145946.33703</v>
      </c>
      <c r="J108" s="233"/>
      <c r="K108" s="233"/>
      <c r="L108" s="233"/>
      <c r="M108" s="233"/>
    </row>
    <row r="109" spans="7:12" ht="9.75" customHeight="1">
      <c r="G109" s="227"/>
      <c r="H109" s="227"/>
      <c r="I109" s="90"/>
      <c r="J109" s="91"/>
      <c r="K109" s="91"/>
      <c r="L109" s="91"/>
    </row>
    <row r="110" spans="2:12" ht="22.5" customHeight="1" hidden="1">
      <c r="B110" s="228" t="s">
        <v>167</v>
      </c>
      <c r="C110" s="229"/>
      <c r="D110" s="110">
        <v>0</v>
      </c>
      <c r="E110" s="70" t="s">
        <v>104</v>
      </c>
      <c r="G110" s="227"/>
      <c r="H110" s="227"/>
      <c r="I110" s="90"/>
      <c r="J110" s="91"/>
      <c r="K110" s="91"/>
      <c r="L110" s="91"/>
    </row>
    <row r="111" spans="4:15" ht="15.75">
      <c r="D111" s="105"/>
      <c r="N111" s="227"/>
      <c r="O111" s="227"/>
    </row>
    <row r="112" spans="4:15" ht="15.75">
      <c r="D112" s="104"/>
      <c r="I112" s="34"/>
      <c r="N112" s="230"/>
      <c r="O112" s="230"/>
    </row>
    <row r="113" spans="14:15" ht="15.75">
      <c r="N113" s="227"/>
      <c r="O113" s="227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0" t="s">
        <v>235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17"/>
      <c r="R1" s="118"/>
    </row>
    <row r="2" spans="2:18" s="1" customFormat="1" ht="15.75" customHeight="1">
      <c r="B2" s="251"/>
      <c r="C2" s="251"/>
      <c r="D2" s="251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2"/>
      <c r="B3" s="254"/>
      <c r="C3" s="255" t="s">
        <v>0</v>
      </c>
      <c r="D3" s="256" t="s">
        <v>216</v>
      </c>
      <c r="E3" s="40"/>
      <c r="F3" s="257" t="s">
        <v>107</v>
      </c>
      <c r="G3" s="258"/>
      <c r="H3" s="258"/>
      <c r="I3" s="258"/>
      <c r="J3" s="259"/>
      <c r="K3" s="114"/>
      <c r="L3" s="114"/>
      <c r="M3" s="260" t="s">
        <v>231</v>
      </c>
      <c r="N3" s="261" t="s">
        <v>232</v>
      </c>
      <c r="O3" s="261"/>
      <c r="P3" s="261"/>
      <c r="Q3" s="261"/>
      <c r="R3" s="261"/>
    </row>
    <row r="4" spans="1:18" ht="22.5" customHeight="1">
      <c r="A4" s="252"/>
      <c r="B4" s="254"/>
      <c r="C4" s="255"/>
      <c r="D4" s="256"/>
      <c r="E4" s="262" t="s">
        <v>228</v>
      </c>
      <c r="F4" s="244" t="s">
        <v>116</v>
      </c>
      <c r="G4" s="246" t="s">
        <v>229</v>
      </c>
      <c r="H4" s="248" t="s">
        <v>230</v>
      </c>
      <c r="I4" s="226" t="s">
        <v>217</v>
      </c>
      <c r="J4" s="240" t="s">
        <v>218</v>
      </c>
      <c r="K4" s="116" t="s">
        <v>172</v>
      </c>
      <c r="L4" s="121" t="s">
        <v>171</v>
      </c>
      <c r="M4" s="240"/>
      <c r="N4" s="242" t="s">
        <v>236</v>
      </c>
      <c r="O4" s="226" t="s">
        <v>136</v>
      </c>
      <c r="P4" s="243" t="s">
        <v>135</v>
      </c>
      <c r="Q4" s="122" t="s">
        <v>172</v>
      </c>
      <c r="R4" s="123" t="s">
        <v>171</v>
      </c>
    </row>
    <row r="5" spans="1:19" ht="92.25" customHeight="1">
      <c r="A5" s="253"/>
      <c r="B5" s="254"/>
      <c r="C5" s="255"/>
      <c r="D5" s="256"/>
      <c r="E5" s="263"/>
      <c r="F5" s="245"/>
      <c r="G5" s="247"/>
      <c r="H5" s="249"/>
      <c r="I5" s="224"/>
      <c r="J5" s="241"/>
      <c r="K5" s="237" t="s">
        <v>233</v>
      </c>
      <c r="L5" s="238"/>
      <c r="M5" s="241"/>
      <c r="N5" s="225"/>
      <c r="O5" s="224"/>
      <c r="P5" s="243"/>
      <c r="Q5" s="237" t="s">
        <v>176</v>
      </c>
      <c r="R5" s="23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39"/>
      <c r="H104" s="239"/>
      <c r="I104" s="239"/>
      <c r="J104" s="23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5"/>
      <c r="O105" s="235"/>
    </row>
    <row r="106" spans="3:15" ht="15.75">
      <c r="C106" s="111">
        <v>42093</v>
      </c>
      <c r="D106" s="34">
        <v>8025</v>
      </c>
      <c r="F106" s="155" t="s">
        <v>166</v>
      </c>
      <c r="G106" s="227"/>
      <c r="H106" s="227"/>
      <c r="I106" s="177"/>
      <c r="J106" s="233"/>
      <c r="K106" s="233"/>
      <c r="L106" s="233"/>
      <c r="M106" s="233"/>
      <c r="N106" s="235"/>
      <c r="O106" s="235"/>
    </row>
    <row r="107" spans="3:15" ht="15.75" customHeight="1">
      <c r="C107" s="111">
        <v>42090</v>
      </c>
      <c r="D107" s="34">
        <v>4282.6</v>
      </c>
      <c r="G107" s="264" t="s">
        <v>151</v>
      </c>
      <c r="H107" s="264"/>
      <c r="I107" s="106">
        <f>8909732.21/1000</f>
        <v>8909.73221</v>
      </c>
      <c r="J107" s="234"/>
      <c r="K107" s="234"/>
      <c r="L107" s="234"/>
      <c r="M107" s="234"/>
      <c r="N107" s="235"/>
      <c r="O107" s="235"/>
    </row>
    <row r="108" spans="7:13" ht="15.75" customHeight="1">
      <c r="G108" s="265" t="s">
        <v>234</v>
      </c>
      <c r="H108" s="266"/>
      <c r="I108" s="103">
        <v>0</v>
      </c>
      <c r="J108" s="233"/>
      <c r="K108" s="233"/>
      <c r="L108" s="233"/>
      <c r="M108" s="233"/>
    </row>
    <row r="109" spans="2:13" ht="18.75" customHeight="1">
      <c r="B109" s="231" t="s">
        <v>160</v>
      </c>
      <c r="C109" s="232"/>
      <c r="D109" s="108">
        <f>147433239.77/1000</f>
        <v>147433.23977000001</v>
      </c>
      <c r="E109" s="73"/>
      <c r="F109" s="156" t="s">
        <v>147</v>
      </c>
      <c r="G109" s="264" t="s">
        <v>149</v>
      </c>
      <c r="H109" s="264"/>
      <c r="I109" s="107">
        <f>138523507.56/1000</f>
        <v>138523.50756</v>
      </c>
      <c r="J109" s="233"/>
      <c r="K109" s="233"/>
      <c r="L109" s="233"/>
      <c r="M109" s="233"/>
    </row>
    <row r="110" spans="7:12" ht="9.75" customHeight="1">
      <c r="G110" s="227"/>
      <c r="H110" s="227"/>
      <c r="I110" s="90"/>
      <c r="J110" s="91"/>
      <c r="K110" s="91"/>
      <c r="L110" s="91"/>
    </row>
    <row r="111" spans="2:12" ht="22.5" customHeight="1" hidden="1">
      <c r="B111" s="228" t="s">
        <v>167</v>
      </c>
      <c r="C111" s="229"/>
      <c r="D111" s="110">
        <v>0</v>
      </c>
      <c r="E111" s="70" t="s">
        <v>104</v>
      </c>
      <c r="G111" s="227"/>
      <c r="H111" s="227"/>
      <c r="I111" s="90"/>
      <c r="J111" s="91"/>
      <c r="K111" s="91"/>
      <c r="L111" s="91"/>
    </row>
    <row r="112" spans="4:15" ht="15.75">
      <c r="D112" s="105"/>
      <c r="N112" s="227"/>
      <c r="O112" s="227"/>
    </row>
    <row r="113" spans="4:15" ht="15.75">
      <c r="D113" s="104"/>
      <c r="I113" s="34"/>
      <c r="N113" s="230"/>
      <c r="O113" s="230"/>
    </row>
    <row r="114" spans="14:15" ht="15.75">
      <c r="N114" s="227"/>
      <c r="O114" s="227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0" t="s">
        <v>227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17"/>
      <c r="R1" s="118"/>
    </row>
    <row r="2" spans="2:18" s="1" customFormat="1" ht="15.75" customHeight="1">
      <c r="B2" s="251"/>
      <c r="C2" s="251"/>
      <c r="D2" s="251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2"/>
      <c r="B3" s="254" t="s">
        <v>205</v>
      </c>
      <c r="C3" s="255" t="s">
        <v>0</v>
      </c>
      <c r="D3" s="256" t="s">
        <v>216</v>
      </c>
      <c r="E3" s="40"/>
      <c r="F3" s="257" t="s">
        <v>107</v>
      </c>
      <c r="G3" s="258"/>
      <c r="H3" s="258"/>
      <c r="I3" s="258"/>
      <c r="J3" s="259"/>
      <c r="K3" s="114"/>
      <c r="L3" s="114"/>
      <c r="M3" s="260" t="s">
        <v>221</v>
      </c>
      <c r="N3" s="261" t="s">
        <v>202</v>
      </c>
      <c r="O3" s="261"/>
      <c r="P3" s="261"/>
      <c r="Q3" s="261"/>
      <c r="R3" s="261"/>
    </row>
    <row r="4" spans="1:18" ht="22.5" customHeight="1">
      <c r="A4" s="252"/>
      <c r="B4" s="254"/>
      <c r="C4" s="255"/>
      <c r="D4" s="256"/>
      <c r="E4" s="262" t="s">
        <v>199</v>
      </c>
      <c r="F4" s="244" t="s">
        <v>116</v>
      </c>
      <c r="G4" s="246" t="s">
        <v>200</v>
      </c>
      <c r="H4" s="248" t="s">
        <v>201</v>
      </c>
      <c r="I4" s="226" t="s">
        <v>217</v>
      </c>
      <c r="J4" s="240" t="s">
        <v>218</v>
      </c>
      <c r="K4" s="116" t="s">
        <v>172</v>
      </c>
      <c r="L4" s="121" t="s">
        <v>171</v>
      </c>
      <c r="M4" s="240"/>
      <c r="N4" s="242" t="s">
        <v>226</v>
      </c>
      <c r="O4" s="226" t="s">
        <v>136</v>
      </c>
      <c r="P4" s="243" t="s">
        <v>135</v>
      </c>
      <c r="Q4" s="122" t="s">
        <v>172</v>
      </c>
      <c r="R4" s="123" t="s">
        <v>171</v>
      </c>
    </row>
    <row r="5" spans="1:19" ht="92.25" customHeight="1">
      <c r="A5" s="253"/>
      <c r="B5" s="254"/>
      <c r="C5" s="255"/>
      <c r="D5" s="256"/>
      <c r="E5" s="263"/>
      <c r="F5" s="245"/>
      <c r="G5" s="247"/>
      <c r="H5" s="249"/>
      <c r="I5" s="224"/>
      <c r="J5" s="241"/>
      <c r="K5" s="237" t="s">
        <v>224</v>
      </c>
      <c r="L5" s="238"/>
      <c r="M5" s="241"/>
      <c r="N5" s="225"/>
      <c r="O5" s="224"/>
      <c r="P5" s="243"/>
      <c r="Q5" s="237" t="s">
        <v>176</v>
      </c>
      <c r="R5" s="23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39"/>
      <c r="H104" s="239"/>
      <c r="I104" s="239"/>
      <c r="J104" s="23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5"/>
      <c r="O105" s="235"/>
    </row>
    <row r="106" spans="3:15" ht="15.75">
      <c r="C106" s="111">
        <v>42061</v>
      </c>
      <c r="D106" s="34">
        <v>6003.3</v>
      </c>
      <c r="F106" s="155" t="s">
        <v>166</v>
      </c>
      <c r="G106" s="227"/>
      <c r="H106" s="227"/>
      <c r="I106" s="177"/>
      <c r="J106" s="233"/>
      <c r="K106" s="233"/>
      <c r="L106" s="233"/>
      <c r="M106" s="233"/>
      <c r="N106" s="235"/>
      <c r="O106" s="235"/>
    </row>
    <row r="107" spans="3:15" ht="15.75" customHeight="1">
      <c r="C107" s="111">
        <v>42060</v>
      </c>
      <c r="D107" s="34">
        <v>1551.3</v>
      </c>
      <c r="G107" s="264" t="s">
        <v>151</v>
      </c>
      <c r="H107" s="264"/>
      <c r="I107" s="106">
        <v>8909.73221</v>
      </c>
      <c r="J107" s="234"/>
      <c r="K107" s="234"/>
      <c r="L107" s="234"/>
      <c r="M107" s="234"/>
      <c r="N107" s="235"/>
      <c r="O107" s="235"/>
    </row>
    <row r="108" spans="7:13" ht="15.75" customHeight="1">
      <c r="G108" s="272" t="s">
        <v>155</v>
      </c>
      <c r="H108" s="272"/>
      <c r="I108" s="103">
        <v>0</v>
      </c>
      <c r="J108" s="233"/>
      <c r="K108" s="233"/>
      <c r="L108" s="233"/>
      <c r="M108" s="233"/>
    </row>
    <row r="109" spans="2:13" ht="18.75" customHeight="1">
      <c r="B109" s="231" t="s">
        <v>160</v>
      </c>
      <c r="C109" s="232"/>
      <c r="D109" s="108">
        <f>138305956.27/1000</f>
        <v>138305.95627000002</v>
      </c>
      <c r="E109" s="73"/>
      <c r="F109" s="156" t="s">
        <v>147</v>
      </c>
      <c r="G109" s="264" t="s">
        <v>149</v>
      </c>
      <c r="H109" s="264"/>
      <c r="I109" s="107">
        <v>129396.23</v>
      </c>
      <c r="J109" s="233"/>
      <c r="K109" s="233"/>
      <c r="L109" s="233"/>
      <c r="M109" s="233"/>
    </row>
    <row r="110" spans="7:12" ht="9.75" customHeight="1">
      <c r="G110" s="227"/>
      <c r="H110" s="227"/>
      <c r="I110" s="90"/>
      <c r="J110" s="91"/>
      <c r="K110" s="91"/>
      <c r="L110" s="91"/>
    </row>
    <row r="111" spans="2:12" ht="22.5" customHeight="1" hidden="1">
      <c r="B111" s="228" t="s">
        <v>167</v>
      </c>
      <c r="C111" s="229"/>
      <c r="D111" s="110">
        <v>0</v>
      </c>
      <c r="E111" s="70" t="s">
        <v>104</v>
      </c>
      <c r="G111" s="227"/>
      <c r="H111" s="227"/>
      <c r="I111" s="90"/>
      <c r="J111" s="91"/>
      <c r="K111" s="91"/>
      <c r="L111" s="91"/>
    </row>
    <row r="112" spans="4:15" ht="15.75">
      <c r="D112" s="105"/>
      <c r="N112" s="227"/>
      <c r="O112" s="227"/>
    </row>
    <row r="113" spans="4:15" ht="15.75">
      <c r="D113" s="104"/>
      <c r="I113" s="34"/>
      <c r="N113" s="230"/>
      <c r="O113" s="230"/>
    </row>
    <row r="114" spans="14:15" ht="15.75">
      <c r="N114" s="227"/>
      <c r="O114" s="227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0" t="s">
        <v>193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17"/>
      <c r="R1" s="118"/>
    </row>
    <row r="2" spans="2:18" s="1" customFormat="1" ht="15.75" customHeight="1">
      <c r="B2" s="251"/>
      <c r="C2" s="251"/>
      <c r="D2" s="251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2"/>
      <c r="B3" s="254" t="s">
        <v>205</v>
      </c>
      <c r="C3" s="255" t="s">
        <v>0</v>
      </c>
      <c r="D3" s="256" t="s">
        <v>216</v>
      </c>
      <c r="E3" s="40"/>
      <c r="F3" s="257" t="s">
        <v>107</v>
      </c>
      <c r="G3" s="258"/>
      <c r="H3" s="258"/>
      <c r="I3" s="258"/>
      <c r="J3" s="259"/>
      <c r="K3" s="114"/>
      <c r="L3" s="114"/>
      <c r="M3" s="260" t="s">
        <v>220</v>
      </c>
      <c r="N3" s="261" t="s">
        <v>175</v>
      </c>
      <c r="O3" s="261"/>
      <c r="P3" s="261"/>
      <c r="Q3" s="261"/>
      <c r="R3" s="261"/>
    </row>
    <row r="4" spans="1:18" ht="22.5" customHeight="1">
      <c r="A4" s="252"/>
      <c r="B4" s="254"/>
      <c r="C4" s="255"/>
      <c r="D4" s="256"/>
      <c r="E4" s="262" t="s">
        <v>219</v>
      </c>
      <c r="F4" s="244" t="s">
        <v>116</v>
      </c>
      <c r="G4" s="246" t="s">
        <v>173</v>
      </c>
      <c r="H4" s="273" t="s">
        <v>174</v>
      </c>
      <c r="I4" s="275" t="s">
        <v>217</v>
      </c>
      <c r="J4" s="278" t="s">
        <v>218</v>
      </c>
      <c r="K4" s="116" t="s">
        <v>172</v>
      </c>
      <c r="L4" s="121" t="s">
        <v>171</v>
      </c>
      <c r="M4" s="240"/>
      <c r="N4" s="242" t="s">
        <v>194</v>
      </c>
      <c r="O4" s="275" t="s">
        <v>136</v>
      </c>
      <c r="P4" s="261" t="s">
        <v>135</v>
      </c>
      <c r="Q4" s="122" t="s">
        <v>172</v>
      </c>
      <c r="R4" s="123" t="s">
        <v>171</v>
      </c>
    </row>
    <row r="5" spans="1:19" ht="92.25" customHeight="1">
      <c r="A5" s="253"/>
      <c r="B5" s="254"/>
      <c r="C5" s="255"/>
      <c r="D5" s="256"/>
      <c r="E5" s="263"/>
      <c r="F5" s="245"/>
      <c r="G5" s="247"/>
      <c r="H5" s="274"/>
      <c r="I5" s="276"/>
      <c r="J5" s="279"/>
      <c r="K5" s="237" t="s">
        <v>188</v>
      </c>
      <c r="L5" s="238"/>
      <c r="M5" s="241"/>
      <c r="N5" s="225"/>
      <c r="O5" s="276"/>
      <c r="P5" s="261"/>
      <c r="Q5" s="237" t="s">
        <v>176</v>
      </c>
      <c r="R5" s="23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39"/>
      <c r="H102" s="239"/>
      <c r="I102" s="239"/>
      <c r="J102" s="239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5"/>
      <c r="O103" s="235"/>
    </row>
    <row r="104" spans="3:15" ht="15.75">
      <c r="C104" s="111">
        <v>42033</v>
      </c>
      <c r="D104" s="34">
        <v>2896.5</v>
      </c>
      <c r="F104" s="155" t="s">
        <v>166</v>
      </c>
      <c r="G104" s="264" t="s">
        <v>151</v>
      </c>
      <c r="H104" s="264"/>
      <c r="I104" s="106">
        <f>'січень '!I139</f>
        <v>8909.733</v>
      </c>
      <c r="J104" s="277" t="s">
        <v>161</v>
      </c>
      <c r="K104" s="277"/>
      <c r="L104" s="277"/>
      <c r="M104" s="277"/>
      <c r="N104" s="235"/>
      <c r="O104" s="235"/>
    </row>
    <row r="105" spans="3:15" ht="15.75">
      <c r="C105" s="111">
        <v>42032</v>
      </c>
      <c r="D105" s="34">
        <v>2838.1</v>
      </c>
      <c r="G105" s="272" t="s">
        <v>155</v>
      </c>
      <c r="H105" s="272"/>
      <c r="I105" s="103">
        <f>'січень '!I140</f>
        <v>0</v>
      </c>
      <c r="J105" s="280" t="s">
        <v>162</v>
      </c>
      <c r="K105" s="280"/>
      <c r="L105" s="280"/>
      <c r="M105" s="280"/>
      <c r="N105" s="235"/>
      <c r="O105" s="235"/>
    </row>
    <row r="106" spans="7:13" ht="15.75" customHeight="1">
      <c r="G106" s="264" t="s">
        <v>148</v>
      </c>
      <c r="H106" s="264"/>
      <c r="I106" s="103">
        <f>'січень '!I141</f>
        <v>0</v>
      </c>
      <c r="J106" s="277" t="s">
        <v>163</v>
      </c>
      <c r="K106" s="277"/>
      <c r="L106" s="277"/>
      <c r="M106" s="277"/>
    </row>
    <row r="107" spans="2:13" ht="18.75" customHeight="1">
      <c r="B107" s="231" t="s">
        <v>160</v>
      </c>
      <c r="C107" s="232"/>
      <c r="D107" s="108">
        <f>'січень '!D142</f>
        <v>132375.63</v>
      </c>
      <c r="E107" s="73"/>
      <c r="F107" s="156" t="s">
        <v>147</v>
      </c>
      <c r="G107" s="264" t="s">
        <v>149</v>
      </c>
      <c r="H107" s="264"/>
      <c r="I107" s="107">
        <f>'січень '!I142</f>
        <v>123465.893</v>
      </c>
      <c r="J107" s="277" t="s">
        <v>164</v>
      </c>
      <c r="K107" s="277"/>
      <c r="L107" s="277"/>
      <c r="M107" s="277"/>
    </row>
    <row r="108" spans="7:12" ht="9.75" customHeight="1">
      <c r="G108" s="227"/>
      <c r="H108" s="227"/>
      <c r="I108" s="90"/>
      <c r="J108" s="91"/>
      <c r="K108" s="91"/>
      <c r="L108" s="91"/>
    </row>
    <row r="109" spans="2:12" ht="22.5" customHeight="1" hidden="1">
      <c r="B109" s="228" t="s">
        <v>167</v>
      </c>
      <c r="C109" s="229"/>
      <c r="D109" s="110">
        <v>0</v>
      </c>
      <c r="E109" s="70" t="s">
        <v>104</v>
      </c>
      <c r="G109" s="227"/>
      <c r="H109" s="227"/>
      <c r="I109" s="90"/>
      <c r="J109" s="91"/>
      <c r="K109" s="91"/>
      <c r="L109" s="91"/>
    </row>
    <row r="110" spans="4:15" ht="15.75">
      <c r="D110" s="105"/>
      <c r="N110" s="227"/>
      <c r="O110" s="227"/>
    </row>
    <row r="111" spans="4:15" ht="15.75">
      <c r="D111" s="104"/>
      <c r="I111" s="34"/>
      <c r="N111" s="230"/>
      <c r="O111" s="230"/>
    </row>
    <row r="112" spans="14:15" ht="15.75">
      <c r="N112" s="227"/>
      <c r="O112" s="227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50" t="s">
        <v>193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17"/>
      <c r="R1" s="118"/>
    </row>
    <row r="2" spans="2:18" s="1" customFormat="1" ht="15.75" customHeight="1">
      <c r="B2" s="251"/>
      <c r="C2" s="251"/>
      <c r="D2" s="251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2"/>
      <c r="B3" s="254" t="s">
        <v>203</v>
      </c>
      <c r="C3" s="255" t="s">
        <v>0</v>
      </c>
      <c r="D3" s="256" t="s">
        <v>190</v>
      </c>
      <c r="E3" s="40"/>
      <c r="F3" s="257" t="s">
        <v>107</v>
      </c>
      <c r="G3" s="258"/>
      <c r="H3" s="258"/>
      <c r="I3" s="258"/>
      <c r="J3" s="259"/>
      <c r="K3" s="114"/>
      <c r="L3" s="114"/>
      <c r="M3" s="260" t="s">
        <v>187</v>
      </c>
      <c r="N3" s="261" t="s">
        <v>175</v>
      </c>
      <c r="O3" s="261"/>
      <c r="P3" s="261"/>
      <c r="Q3" s="261"/>
      <c r="R3" s="261"/>
    </row>
    <row r="4" spans="1:18" ht="22.5" customHeight="1">
      <c r="A4" s="252"/>
      <c r="B4" s="254"/>
      <c r="C4" s="255"/>
      <c r="D4" s="256"/>
      <c r="E4" s="262" t="s">
        <v>153</v>
      </c>
      <c r="F4" s="244" t="s">
        <v>116</v>
      </c>
      <c r="G4" s="246" t="s">
        <v>173</v>
      </c>
      <c r="H4" s="273" t="s">
        <v>174</v>
      </c>
      <c r="I4" s="275" t="s">
        <v>186</v>
      </c>
      <c r="J4" s="278" t="s">
        <v>189</v>
      </c>
      <c r="K4" s="116" t="s">
        <v>172</v>
      </c>
      <c r="L4" s="121" t="s">
        <v>171</v>
      </c>
      <c r="M4" s="240"/>
      <c r="N4" s="242" t="s">
        <v>194</v>
      </c>
      <c r="O4" s="275" t="s">
        <v>136</v>
      </c>
      <c r="P4" s="261" t="s">
        <v>135</v>
      </c>
      <c r="Q4" s="122" t="s">
        <v>172</v>
      </c>
      <c r="R4" s="123" t="s">
        <v>171</v>
      </c>
    </row>
    <row r="5" spans="1:19" ht="92.25" customHeight="1">
      <c r="A5" s="253"/>
      <c r="B5" s="254"/>
      <c r="C5" s="255"/>
      <c r="D5" s="256"/>
      <c r="E5" s="263"/>
      <c r="F5" s="245"/>
      <c r="G5" s="247"/>
      <c r="H5" s="274"/>
      <c r="I5" s="276"/>
      <c r="J5" s="279"/>
      <c r="K5" s="237" t="s">
        <v>188</v>
      </c>
      <c r="L5" s="238"/>
      <c r="M5" s="241"/>
      <c r="N5" s="225"/>
      <c r="O5" s="276"/>
      <c r="P5" s="261"/>
      <c r="Q5" s="237" t="s">
        <v>176</v>
      </c>
      <c r="R5" s="238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39"/>
      <c r="H137" s="239"/>
      <c r="I137" s="239"/>
      <c r="J137" s="239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5"/>
      <c r="O138" s="235"/>
    </row>
    <row r="139" spans="3:15" ht="15.75">
      <c r="C139" s="111">
        <v>42033</v>
      </c>
      <c r="D139" s="34">
        <v>2896.5</v>
      </c>
      <c r="F139" s="155" t="s">
        <v>166</v>
      </c>
      <c r="G139" s="264" t="s">
        <v>151</v>
      </c>
      <c r="H139" s="264"/>
      <c r="I139" s="106">
        <f>8909.733</f>
        <v>8909.733</v>
      </c>
      <c r="J139" s="277" t="s">
        <v>161</v>
      </c>
      <c r="K139" s="277"/>
      <c r="L139" s="277"/>
      <c r="M139" s="277"/>
      <c r="N139" s="235"/>
      <c r="O139" s="235"/>
    </row>
    <row r="140" spans="3:15" ht="15.75">
      <c r="C140" s="111">
        <v>42032</v>
      </c>
      <c r="D140" s="34">
        <v>2838.1</v>
      </c>
      <c r="G140" s="272" t="s">
        <v>155</v>
      </c>
      <c r="H140" s="272"/>
      <c r="I140" s="103">
        <v>0</v>
      </c>
      <c r="J140" s="280" t="s">
        <v>162</v>
      </c>
      <c r="K140" s="280"/>
      <c r="L140" s="280"/>
      <c r="M140" s="280"/>
      <c r="N140" s="235"/>
      <c r="O140" s="235"/>
    </row>
    <row r="141" spans="7:13" ht="15.75" customHeight="1">
      <c r="G141" s="264" t="s">
        <v>148</v>
      </c>
      <c r="H141" s="264"/>
      <c r="I141" s="103">
        <v>0</v>
      </c>
      <c r="J141" s="277" t="s">
        <v>163</v>
      </c>
      <c r="K141" s="277"/>
      <c r="L141" s="277"/>
      <c r="M141" s="277"/>
    </row>
    <row r="142" spans="2:13" ht="18.75" customHeight="1">
      <c r="B142" s="231" t="s">
        <v>160</v>
      </c>
      <c r="C142" s="232"/>
      <c r="D142" s="108">
        <f>132375.63</f>
        <v>132375.63</v>
      </c>
      <c r="E142" s="73"/>
      <c r="F142" s="156" t="s">
        <v>147</v>
      </c>
      <c r="G142" s="264" t="s">
        <v>149</v>
      </c>
      <c r="H142" s="264"/>
      <c r="I142" s="107">
        <f>123465.893</f>
        <v>123465.893</v>
      </c>
      <c r="J142" s="277" t="s">
        <v>164</v>
      </c>
      <c r="K142" s="277"/>
      <c r="L142" s="277"/>
      <c r="M142" s="277"/>
    </row>
    <row r="143" spans="7:12" ht="9.75" customHeight="1">
      <c r="G143" s="227"/>
      <c r="H143" s="227"/>
      <c r="I143" s="90"/>
      <c r="J143" s="91"/>
      <c r="K143" s="91"/>
      <c r="L143" s="91"/>
    </row>
    <row r="144" spans="2:12" ht="22.5" customHeight="1" hidden="1">
      <c r="B144" s="228" t="s">
        <v>167</v>
      </c>
      <c r="C144" s="229"/>
      <c r="D144" s="110">
        <v>0</v>
      </c>
      <c r="E144" s="70" t="s">
        <v>104</v>
      </c>
      <c r="G144" s="227"/>
      <c r="H144" s="227"/>
      <c r="I144" s="90"/>
      <c r="J144" s="91"/>
      <c r="K144" s="91"/>
      <c r="L144" s="91"/>
    </row>
    <row r="145" spans="4:15" ht="15.75">
      <c r="D145" s="105"/>
      <c r="N145" s="227"/>
      <c r="O145" s="227"/>
    </row>
    <row r="146" spans="4:15" ht="15.75">
      <c r="D146" s="104"/>
      <c r="I146" s="34"/>
      <c r="N146" s="230"/>
      <c r="O146" s="230"/>
    </row>
    <row r="147" spans="14:15" ht="15.75">
      <c r="N147" s="227"/>
      <c r="O147" s="227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2015-08-26T06:52:06Z</cp:lastPrinted>
  <dcterms:created xsi:type="dcterms:W3CDTF">2003-07-28T11:27:56Z</dcterms:created>
  <dcterms:modified xsi:type="dcterms:W3CDTF">2015-08-26T06:52:58Z</dcterms:modified>
  <cp:category/>
  <cp:version/>
  <cp:contentType/>
  <cp:contentStatus/>
</cp:coreProperties>
</file>